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70" windowWidth="28455" windowHeight="11955" tabRatio="870" activeTab="23"/>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Т-во'!$510:$511</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Т-во'!$512:$513</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тарифов'!$106:$188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территорий'!$E$49:$I$49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тарифов'!$Z$12:$Z$190</definedName>
    <definedName name="DIFFERENTIATION_TARIFF_VD_ID">'Перечень тарифов'!$AB$12:$AB$190</definedName>
    <definedName name="DIFFERENTIATION_TARIFF_VTAR_ID">'Перечень тарифов'!$AA$12:$AA$190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Предложение!$L$116</definedName>
    <definedName name="OFFER_METHOD">Предложение!$K$24:$K$114</definedName>
    <definedName name="OFFER_METHOD_FLAG">TEHSHEET!$L$6</definedName>
    <definedName name="OFFER_TARIFF_A_1">Предложение!$24:$26</definedName>
    <definedName name="OFFER_TARIFF_A_2">Предложение!$118:$120</definedName>
    <definedName name="OFFER_TARIFF_A_3">Предложение!$210:$212</definedName>
    <definedName name="OFFER_TARIFF_A_4">Предложение!$302:$304</definedName>
    <definedName name="OFFER_TARIFF_A_5">Предложение!$394:$396</definedName>
    <definedName name="OFFER_TARIFF_A_COLDVSNA_1">Предложение!$48:$50</definedName>
    <definedName name="OFFER_TARIFF_A_COLDVSNA_2">Предложение!$142:$144</definedName>
    <definedName name="OFFER_TARIFF_A_COLDVSNA_3">Предложение!$234:$236</definedName>
    <definedName name="OFFER_TARIFF_A_COLDVSNA_4">Предложение!$326:$328</definedName>
    <definedName name="OFFER_TARIFF_A_COLDVSNA_5">Предложение!$418:$420</definedName>
    <definedName name="OFFER_TARIFF_A_HOTVSNA_1">Предложение!$63:$65</definedName>
    <definedName name="OFFER_TARIFF_A_HOTVSNA_2">Предложение!$157:$159</definedName>
    <definedName name="OFFER_TARIFF_A_HOTVSNA_3">Предложение!$249:$251</definedName>
    <definedName name="OFFER_TARIFF_A_HOTVSNA_4">Предложение!$341:$343</definedName>
    <definedName name="OFFER_TARIFF_A_HOTVSNA_5">Предложение!$433:$435</definedName>
    <definedName name="OFFER_TARIFF_A_VOTV_1">Предложение!$72:$108</definedName>
    <definedName name="OFFER_TARIFF_A_VOTV_2">Предложение!$166:$202</definedName>
    <definedName name="OFFER_TARIFF_A_VOTV_3">Предложение!$258:$294</definedName>
    <definedName name="OFFER_TARIFF_A_VOTV_4">Предложение!$350:$386</definedName>
    <definedName name="OFFER_TARIFF_A_VOTV_5">Предложение!$442:$478</definedName>
    <definedName name="OFFER_TARIFF_B_1">Предложение!$27:$29</definedName>
    <definedName name="OFFER_TARIFF_B_2">Предложение!$121:$123</definedName>
    <definedName name="OFFER_TARIFF_B_3">Предложение!$213:$215</definedName>
    <definedName name="OFFER_TARIFF_B_4">Предложение!$305:$307</definedName>
    <definedName name="OFFER_TARIFF_B_5">Предложение!$397:$399</definedName>
    <definedName name="OFFER_TARIFF_B_COLDVSNA_1">Предложение!$51:$53</definedName>
    <definedName name="OFFER_TARIFF_B_COLDVSNA_2">Предложение!$145:$147</definedName>
    <definedName name="OFFER_TARIFF_B_COLDVSNA_3">Предложение!$237:$239</definedName>
    <definedName name="OFFER_TARIFF_B_COLDVSNA_4">Предложение!$329:$331</definedName>
    <definedName name="OFFER_TARIFF_B_COLDVSNA_5">Предложение!$421:$423</definedName>
    <definedName name="OFFER_TARIFF_B_HOTVSNA_1">Предложение!$66:$68</definedName>
    <definedName name="OFFER_TARIFF_B_HOTVSNA_2">Предложение!$160:$162</definedName>
    <definedName name="OFFER_TARIFF_B_HOTVSNA_3">Предложение!$252:$254</definedName>
    <definedName name="OFFER_TARIFF_B_HOTVSNA_4">Предложение!$344:$346</definedName>
    <definedName name="OFFER_TARIFF_B_HOTVSNA_5">Предложение!$436:$438</definedName>
    <definedName name="OFFER_TARIFF_B_VOTV_1">Предложение!$109:$111</definedName>
    <definedName name="OFFER_TARIFF_B_VOTV_2">Предложение!$203:$205</definedName>
    <definedName name="OFFER_TARIFF_B_VOTV_3">Предложение!$295:$297</definedName>
    <definedName name="OFFER_TARIFF_B_VOTV_4">Предложение!$387:$389</definedName>
    <definedName name="OFFER_TARIFF_B_VOTV_5">Предложение!$479:$481</definedName>
    <definedName name="OFFER_TARIFF_C_1">Предложение!$30:$32</definedName>
    <definedName name="OFFER_TARIFF_C_2">Предложение!$124:$126</definedName>
    <definedName name="OFFER_TARIFF_C_3">Предложение!$216:$218</definedName>
    <definedName name="OFFER_TARIFF_C_4">Предложение!$308:$310</definedName>
    <definedName name="OFFER_TARIFF_C_5">Предложение!$400:$402</definedName>
    <definedName name="OFFER_TARIFF_C_COLDVSNA_1">Предложение!$54:$56</definedName>
    <definedName name="OFFER_TARIFF_C_COLDVSNA_2">Предложение!$148:$150</definedName>
    <definedName name="OFFER_TARIFF_C_COLDVSNA_3">Предложение!$240:$242</definedName>
    <definedName name="OFFER_TARIFF_C_COLDVSNA_4">Предложение!$332:$334</definedName>
    <definedName name="OFFER_TARIFF_C_COLDVSNA_5">Предложение!$424:$426</definedName>
    <definedName name="OFFER_TARIFF_C_HOTVSNA_1">Предложение!$69:$71</definedName>
    <definedName name="OFFER_TARIFF_C_HOTVSNA_2">Предложение!$163:$165</definedName>
    <definedName name="OFFER_TARIFF_C_HOTVSNA_3">Предложение!$255:$257</definedName>
    <definedName name="OFFER_TARIFF_C_HOTVSNA_4">Предложение!$347:$349</definedName>
    <definedName name="OFFER_TARIFF_C_HOTVSNA_5">Предложение!$439:$441</definedName>
    <definedName name="OFFER_TARIFF_C_VOTV_1">Предложение!$112:$114</definedName>
    <definedName name="OFFER_TARIFF_C_VOTV_2">Предложение!$206:$208</definedName>
    <definedName name="OFFER_TARIFF_C_VOTV_3">Предложение!$298:$300</definedName>
    <definedName name="OFFER_TARIFF_C_VOTV_4">Предложение!$390:$392</definedName>
    <definedName name="OFFER_TARIFF_C_VOTV_5">Предложение!$482:$484</definedName>
    <definedName name="OFFER_TARIFF_D_1">Предложение!$33:$35</definedName>
    <definedName name="OFFER_TARIFF_D_2">Предложение!$127:$129</definedName>
    <definedName name="OFFER_TARIFF_D_3">Предложение!$219:$221</definedName>
    <definedName name="OFFER_TARIFF_D_4">Предложение!$311:$313</definedName>
    <definedName name="OFFER_TARIFF_D_5">Предложение!$403:$405</definedName>
    <definedName name="OFFER_TARIFF_D_COLDVSNA_1">Предложение!$57:$59</definedName>
    <definedName name="OFFER_TARIFF_D_COLDVSNA_2">Предложение!$151:$153</definedName>
    <definedName name="OFFER_TARIFF_D_COLDVSNA_3">Предложение!$243:$245</definedName>
    <definedName name="OFFER_TARIFF_D_COLDVSNA_4">Предложение!$335:$337</definedName>
    <definedName name="OFFER_TARIFF_D_COLDVSNA_5">Предложение!$427:$429</definedName>
    <definedName name="OFFER_TARIFF_E_COLDVSNA_1">Предложение!$60:$62</definedName>
    <definedName name="OFFER_TARIFF_E_COLDVSNA_2">Предложение!$154:$156</definedName>
    <definedName name="OFFER_TARIFF_E_COLDVSNA_3">Предложение!$246:$248</definedName>
    <definedName name="OFFER_TARIFF_E_COLDVSNA_4">Предложение!$338:$340</definedName>
    <definedName name="OFFER_TARIFF_E_COLDVSNA_5">Предложение!$430:$432</definedName>
    <definedName name="OFFER_TARIFF_E1_1">Предложение!$36:$38</definedName>
    <definedName name="OFFER_TARIFF_E1_2">Предложение!$130:$132</definedName>
    <definedName name="OFFER_TARIFF_E1_3">Предложение!$222:$224</definedName>
    <definedName name="OFFER_TARIFF_E1_4">Предложение!$314:$316</definedName>
    <definedName name="OFFER_TARIFF_E1_5">Предложение!$406:$408</definedName>
    <definedName name="OFFER_TARIFF_E2_1">Предложение!$39:$41</definedName>
    <definedName name="OFFER_TARIFF_E2_2">Предложение!$133:$135</definedName>
    <definedName name="OFFER_TARIFF_E2_3">Предложение!$225:$227</definedName>
    <definedName name="OFFER_TARIFF_E2_4">Предложение!$317:$319</definedName>
    <definedName name="OFFER_TARIFF_E2_5">Предложение!$409:$411</definedName>
    <definedName name="OFFER_TARIFF_F_1">Предложение!$42:$44</definedName>
    <definedName name="OFFER_TARIFF_F_2">Предложение!$136:$138</definedName>
    <definedName name="OFFER_TARIFF_F_3">Предложение!$228:$230</definedName>
    <definedName name="OFFER_TARIFF_F_4">Предложение!$320:$322</definedName>
    <definedName name="OFFER_TARIFF_F_5">Предложение!$412:$414</definedName>
    <definedName name="OFFER_TARIFF_G_1">Предложение!$45:$47</definedName>
    <definedName name="OFFER_TARIFF_G_2">Предложение!$139:$141</definedName>
    <definedName name="OFFER_TARIFF_G_3">Предложение!$231:$233</definedName>
    <definedName name="OFFER_TARIFF_G_4">Предложение!$323:$325</definedName>
    <definedName name="OFFER_TARIFF_G_5">Предложение!$415:$417</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территорий'!$C$12:$C$49</definedName>
    <definedName name="pDel_LT_MO">'Список территорий'!$D$11:$D$49</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территорий'!$G$49</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Предложение!$G$144</definedName>
    <definedName name="pIns_PT_VTAR_A_COLDVSNA_OFFER_3">Предложение!$G$236</definedName>
    <definedName name="pIns_PT_VTAR_A_COLDVSNA_OFFER_4">Предложение!$G$328</definedName>
    <definedName name="pIns_PT_VTAR_A_COLDVSNA_OFFER_5">Предложение!$G$420</definedName>
    <definedName name="pIns_PT_VTAR_A_COLDVSNA_OFFER5">Предложение!$G$420</definedName>
    <definedName name="pIns_PT_VTAR_A_HOTVSNA">'ГВС. Т-гор.вода'!$T$53</definedName>
    <definedName name="pIns_PT_VTAR_A_HOTVSNA_OFFER_1">Предложение!$G$65</definedName>
    <definedName name="pIns_PT_VTAR_A_HOTVSNA_OFFER_2">Предложение!$G$159</definedName>
    <definedName name="pIns_PT_VTAR_A_HOTVSNA_OFFER_3">Предложение!$G$251</definedName>
    <definedName name="pIns_PT_VTAR_A_HOTVSNA_OFFER_4">Предложение!$G$343</definedName>
    <definedName name="pIns_PT_VTAR_A_HOTVSNA_OFFER_5">Предложение!$G$435</definedName>
    <definedName name="pIns_PT_VTAR_A_OFFER_1">Предложение!$G$26</definedName>
    <definedName name="pIns_PT_VTAR_A_OFFER_2">Предложение!$G$120</definedName>
    <definedName name="pIns_PT_VTAR_A_OFFER_3">Предложение!$G$212</definedName>
    <definedName name="pIns_PT_VTAR_A_OFFER_4">Предложение!$G$304</definedName>
    <definedName name="pIns_PT_VTAR_A_OFFER_5">Предложение!$G$396</definedName>
    <definedName name="pIns_PT_VTAR_A_VOTV">'ВО. Т-во'!$T$509</definedName>
    <definedName name="pIns_PT_VTAR_A_VOTV_OFFER_1">Предложение!$G$108</definedName>
    <definedName name="pIns_PT_VTAR_A_VOTV_OFFER_2">Предложение!$G$202</definedName>
    <definedName name="pIns_PT_VTAR_A_VOTV_OFFER_3">Предложение!$G$294</definedName>
    <definedName name="pIns_PT_VTAR_A_VOTV_OFFER_4">Предложение!$G$386</definedName>
    <definedName name="pIns_PT_VTAR_A_VOTV_OFFER_5">Предложение!$G$478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Предложение!$G$147</definedName>
    <definedName name="pIns_PT_VTAR_B_COLDVSNA_OFFER_3">Предложение!$G$239</definedName>
    <definedName name="pIns_PT_VTAR_B_COLDVSNA_OFFER_4">Предложение!$G$331</definedName>
    <definedName name="pIns_PT_VTAR_B_COLDVSNA_OFFER_5">Предложение!$G$423</definedName>
    <definedName name="pIns_PT_VTAR_B_HOTVSNA">'ГВС. Т-транс'!$T$53</definedName>
    <definedName name="pIns_PT_VTAR_B_HOTVSNA_OFFER_1">Предложение!$G$68</definedName>
    <definedName name="pIns_PT_VTAR_B_HOTVSNA_OFFER_2">Предложение!$G$162</definedName>
    <definedName name="pIns_PT_VTAR_B_HOTVSNA_OFFER_3">Предложение!$G$254</definedName>
    <definedName name="pIns_PT_VTAR_B_HOTVSNA_OFFER_4">Предложение!$G$346</definedName>
    <definedName name="pIns_PT_VTAR_B_HOTVSNA_OFFER_5">Предложение!$G$438</definedName>
    <definedName name="pIns_PT_VTAR_B_OFFER_1">Предложение!$G$29</definedName>
    <definedName name="pIns_PT_VTAR_B_OFFER_2">Предложение!$G$123</definedName>
    <definedName name="pIns_PT_VTAR_B_OFFER_3">Предложение!$G$215</definedName>
    <definedName name="pIns_PT_VTAR_B_OFFER_4">Предложение!$G$307</definedName>
    <definedName name="pIns_PT_VTAR_B_OFFER_5">Предложение!$G$399</definedName>
    <definedName name="pIns_PT_VTAR_B_VOTV">'ВО. Т-транс'!$T$53</definedName>
    <definedName name="pIns_PT_VTAR_B_VOTV_OFFER_1">Предложение!$G$111</definedName>
    <definedName name="pIns_PT_VTAR_B_VOTV_OFFER_2">Предложение!$G$205</definedName>
    <definedName name="pIns_PT_VTAR_B_VOTV_OFFER_3">Предложение!$G$297</definedName>
    <definedName name="pIns_PT_VTAR_B_VOTV_OFFER_4">Предложение!$G$389</definedName>
    <definedName name="pIns_PT_VTAR_B_VOTV_OFFER_5">Предложение!$G$481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Предложение!$G$150</definedName>
    <definedName name="pIns_PT_VTAR_C_COLDVSNA_OFFER_3">Предложение!$G$242</definedName>
    <definedName name="pIns_PT_VTAR_C_COLDVSNA_OFFER_4">Предложение!$G$334</definedName>
    <definedName name="pIns_PT_VTAR_C_COLDVSNA_OFFER_5">Предложение!$G$426</definedName>
    <definedName name="pIns_PT_VTAR_C_HOTVSNA">'ГВС. Т-подкл'!$T$63</definedName>
    <definedName name="pIns_PT_VTAR_C_HOTVSNA_OFFER_1">Предложение!$G$71</definedName>
    <definedName name="pIns_PT_VTAR_C_HOTVSNA_OFFER_2">Предложение!$G$165</definedName>
    <definedName name="pIns_PT_VTAR_C_HOTVSNA_OFFER_3">Предложение!$G$257</definedName>
    <definedName name="pIns_PT_VTAR_C_HOTVSNA_OFFER_4">Предложение!$G$349</definedName>
    <definedName name="pIns_PT_VTAR_C_HOTVSNA_OFFER_5">Предложение!$G$441</definedName>
    <definedName name="pIns_PT_VTAR_C_OFFER_1">Предложение!$G$32</definedName>
    <definedName name="pIns_PT_VTAR_C_OFFER_2">Предложение!$G$126</definedName>
    <definedName name="pIns_PT_VTAR_C_OFFER_3">Предложение!$G$218</definedName>
    <definedName name="pIns_PT_VTAR_C_OFFER_4">Предложение!$G$310</definedName>
    <definedName name="pIns_PT_VTAR_C_OFFER_5">Предложение!$G$402</definedName>
    <definedName name="pIns_PT_VTAR_C_VOTV">'ВО. Т-подкл'!$T$63</definedName>
    <definedName name="pIns_PT_VTAR_C_VOTV_OFFER_1">Предложение!$G$114</definedName>
    <definedName name="pIns_PT_VTAR_C_VOTV_OFFER_2">Предложение!$G$208</definedName>
    <definedName name="pIns_PT_VTAR_C_VOTV_OFFER_3">Предложение!$G$300</definedName>
    <definedName name="pIns_PT_VTAR_C_VOTV_OFFER_4">Предложение!$G$392</definedName>
    <definedName name="pIns_PT_VTAR_C_VOTV_OFFER_5">Предложение!$G$484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Предложение!$G$153</definedName>
    <definedName name="pIns_PT_VTAR_D_COLDVSNA_OFFER_3">Предложение!$G$245</definedName>
    <definedName name="pIns_PT_VTAR_D_COLDVSNA_OFFER_4">Предложение!$G$337</definedName>
    <definedName name="pIns_PT_VTAR_D_COLDVSNA_OFFER_5">Предложение!$G$429</definedName>
    <definedName name="pIns_PT_VTAR_D_OFFER_1">Предложение!$G$35</definedName>
    <definedName name="pIns_PT_VTAR_D_OFFER_2">Предложение!$G$129</definedName>
    <definedName name="pIns_PT_VTAR_D_OFFER_3">Предложение!$G$221</definedName>
    <definedName name="pIns_PT_VTAR_D_OFFER_4">Предложение!$G$313</definedName>
    <definedName name="pIns_PT_VTAR_D_OFFER_5">Предложение!$G$405</definedName>
    <definedName name="pIns_PT_VTAR_E_COLDVSNA">'ХВС. Т-подкл'!$T$63</definedName>
    <definedName name="pIns_PT_VTAR_E_COLDVSNA_OFFER_1">Предложение!$G$62</definedName>
    <definedName name="pIns_PT_VTAR_E_COLDVSNA_OFFER_2">Предложение!$G$156</definedName>
    <definedName name="pIns_PT_VTAR_E_COLDVSNA_OFFER_3">Предложение!$G$248</definedName>
    <definedName name="pIns_PT_VTAR_E_COLDVSNA_OFFER_4">Предложение!$G$340</definedName>
    <definedName name="pIns_PT_VTAR_E_COLDVSNA_OFFER_5">Предложение!$G$432</definedName>
    <definedName name="pIns_PT_VTAR_E1">'ТС. Т-передача ТЭ'!$T$57</definedName>
    <definedName name="pIns_PT_VTAR_E1_OFFER_1">Предложение!$G$38</definedName>
    <definedName name="pIns_PT_VTAR_E1_OFFER_2">Предложение!$G$132</definedName>
    <definedName name="pIns_PT_VTAR_E1_OFFER_3">Предложение!$G$224</definedName>
    <definedName name="pIns_PT_VTAR_E1_OFFER_4">Предложение!$G$316</definedName>
    <definedName name="pIns_PT_VTAR_E1_OFFER_5">Предложение!$G$408</definedName>
    <definedName name="pIns_PT_VTAR_E2">'ТС. Т-передача ТН'!$T$57</definedName>
    <definedName name="pIns_PT_VTAR_E2_OFFER_1">Предложение!$G$41</definedName>
    <definedName name="pIns_PT_VTAR_E2_OFFER_2">Предложение!$G$135</definedName>
    <definedName name="pIns_PT_VTAR_E2_OFFER_3">Предложение!$G$227</definedName>
    <definedName name="pIns_PT_VTAR_E2_OFFER_4">Предложение!$G$319</definedName>
    <definedName name="pIns_PT_VTAR_E2_OFFER_5">Предложение!$G$411</definedName>
    <definedName name="pIns_PT_VTAR_F">'ТС. Резерв мощности'!$T$57</definedName>
    <definedName name="pIns_PT_VTAR_F_OFFER_1">Предложение!$G$44</definedName>
    <definedName name="pIns_PT_VTAR_F_OFFER_2">Предложение!$G$138</definedName>
    <definedName name="pIns_PT_VTAR_F_OFFER_3">Предложение!$G$230</definedName>
    <definedName name="pIns_PT_VTAR_F_OFFER_4">Предложение!$G$322</definedName>
    <definedName name="pIns_PT_VTAR_F_OFFER_5">Предложение!$G$414</definedName>
    <definedName name="pIns_PT_VTAR_G">'ТС. Т-подкл'!$T$62</definedName>
    <definedName name="pIns_PT_VTAR_G_OFFER_1">Предложение!$G$47</definedName>
    <definedName name="pIns_PT_VTAR_G_OFFER_2">Предложение!$G$141</definedName>
    <definedName name="pIns_PT_VTAR_G_OFFER_3">Предложение!$G$233</definedName>
    <definedName name="pIns_PT_VTAR_G_OFFER_4">Предложение!$G$325</definedName>
    <definedName name="pIns_PT_VTAR_G_OFFER_5">Предложение!$G$417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Т-во'!$43:$64</definedName>
    <definedName name="pt_cs_18">'ВО. Т-транс'!$43:$50</definedName>
    <definedName name="pt_cs_19">'ВО. Т-подкл'!$48:$60</definedName>
    <definedName name="pt_cs_2">'ТС. Т-ТЭ | ТСО'!$45:$54</definedName>
    <definedName name="pt_cs_3">'ТС. Т-ТН'!$45:$54</definedName>
    <definedName name="pt_cs_30">'ВО. Т-во'!#REF!</definedName>
    <definedName name="pt_cs_31">'ВО. Т-во'!$69:$90</definedName>
    <definedName name="pt_cs_32">'ВО. Т-во'!$95:$116</definedName>
    <definedName name="pt_cs_33">'ВО. Т-во'!$121:$142</definedName>
    <definedName name="pt_cs_34">'ВО. Т-во'!$147:$168</definedName>
    <definedName name="pt_cs_35">'ВО. Т-во'!$173:$194</definedName>
    <definedName name="pt_cs_36">'ВО. Т-во'!$199:$220</definedName>
    <definedName name="pt_cs_37">'ВО. Т-во'!$225:$246</definedName>
    <definedName name="pt_cs_38">'ВО. Т-во'!$251:$272</definedName>
    <definedName name="pt_cs_39">'ВО. Т-во'!$277:$298</definedName>
    <definedName name="pt_cs_4">'ТС. Т-гор.вода'!$51:$62</definedName>
    <definedName name="pt_cs_40">'ВО. Т-во'!$303:$324</definedName>
    <definedName name="pt_cs_41">'ВО. Т-во'!$329:$350</definedName>
    <definedName name="pt_cs_42">'ВО. Т-во'!$355:$376</definedName>
    <definedName name="pt_cs_43">'ВО. Т-во'!$381:$402</definedName>
    <definedName name="pt_cs_44">'ВО. Т-во'!$407:$428</definedName>
    <definedName name="pt_cs_45">'ВО. Т-во'!$433:$454</definedName>
    <definedName name="pt_cs_46">'ВО. Т-во'!$459:$480</definedName>
    <definedName name="pt_cs_47">'ВО. Т-во'!$485:$506</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тарифов'!$AL$12:$AL$190</definedName>
    <definedName name="PT_DIFFERENTIATION_CS_ID">'Перечень тарифов'!$AF$12:$AF$190</definedName>
    <definedName name="PT_DIFFERENTIATION_IST_TE">'Перечень тарифов'!$AM$12:$AM$190</definedName>
    <definedName name="PT_DIFFERENTIATION_IST_TE_ID">'Перечень тарифов'!$AG$12:$AG$190</definedName>
    <definedName name="PT_DIFFERENTIATION_NTAR">'Перечень тарифов'!$AJ$12:$AJ$190</definedName>
    <definedName name="PT_DIFFERENTIATION_NTAR_ID">'Перечень тарифов'!$AD$12:$AD$190</definedName>
    <definedName name="PT_DIFFERENTIATION_NUM_CS">'Перечень тарифов'!$AP$12:$AP$190</definedName>
    <definedName name="PT_DIFFERENTIATION_NUM_IST_TE">'Перечень тарифов'!$AQ$12:$AQ$190</definedName>
    <definedName name="PT_DIFFERENTIATION_NUM_NTAR">'Перечень тарифов'!$AN$12:$AN$190</definedName>
    <definedName name="PT_DIFFERENTIATION_NUM_TER">'Перечень тарифов'!$AO$12:$AO$190</definedName>
    <definedName name="PT_DIFFERENTIATION_TER">'Перечень тарифов'!$AK$12:$AK$190</definedName>
    <definedName name="PT_DIFFERENTIATION_TER_ID">'Перечень тарифов'!$AE$12:$AE$190</definedName>
    <definedName name="PT_DIFFERENTIATION_VDET">'Перечень тарифов'!$AI$12:$AI$190</definedName>
    <definedName name="PT_DIFFERENTIATION_VTAR">'Перечень тарифов'!$AH$12:$AH$190</definedName>
    <definedName name="PT_DIFFERENTIATION_VTAR_ID">'Перечень тарифов'!$AC$12:$AC$190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Т-во'!$41:$66</definedName>
    <definedName name="pt_ntar_18">'ВО. Т-транс'!$41:$52</definedName>
    <definedName name="pt_ntar_19">'ВО. Т-подкл'!$46:$62</definedName>
    <definedName name="pt_ntar_2">'ТС. Т-ТЭ | ТСО'!$43:$56</definedName>
    <definedName name="pt_ntar_27">'ВО. Т-во'!$67:$92</definedName>
    <definedName name="pt_ntar_28">'ВО. Т-во'!$93:$118</definedName>
    <definedName name="pt_ntar_29">'ВО. Т-во'!$119:$144</definedName>
    <definedName name="pt_ntar_3">'ТС. Т-ТН'!$43:$56</definedName>
    <definedName name="pt_ntar_30">'ВО. Т-во'!$145:$170</definedName>
    <definedName name="pt_ntar_31">'ВО. Т-во'!$171:$196</definedName>
    <definedName name="pt_ntar_32">'ВО. Т-во'!$197:$222</definedName>
    <definedName name="pt_ntar_33">'ВО. Т-во'!$223:$248</definedName>
    <definedName name="pt_ntar_34">'ВО. Т-во'!$249:$274</definedName>
    <definedName name="pt_ntar_35">'ВО. Т-во'!$275:$300</definedName>
    <definedName name="pt_ntar_36">'ВО. Т-во'!$301:$326</definedName>
    <definedName name="pt_ntar_37">'ВО. Т-во'!$327:$352</definedName>
    <definedName name="pt_ntar_38">'ВО. Т-во'!$353:$378</definedName>
    <definedName name="pt_ntar_39">'ВО. Т-во'!$379:$404</definedName>
    <definedName name="pt_ntar_4">'ТС. Т-гор.вода'!$49:$64</definedName>
    <definedName name="pt_ntar_40">'ВО. Т-во'!$405:$430</definedName>
    <definedName name="pt_ntar_41">'ВО. Т-во'!$431:$456</definedName>
    <definedName name="pt_ntar_42">'ВО. Т-во'!$457:$482</definedName>
    <definedName name="pt_ntar_43">'ВО. Т-во'!$483:$508</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Т-во'!$42:$65</definedName>
    <definedName name="pt_ter_18">'ВО. Т-транс'!$42:$51</definedName>
    <definedName name="pt_ter_19">'ВО. Т-подкл'!$47:$61</definedName>
    <definedName name="pt_ter_2">'ТС. Т-ТЭ | ТСО'!$44:$55</definedName>
    <definedName name="pt_ter_3">'ТС. Т-ТН'!$44:$55</definedName>
    <definedName name="pt_ter_30">'ВО. Т-во'!#REF!</definedName>
    <definedName name="pt_ter_31">'ВО. Т-во'!$68:$91</definedName>
    <definedName name="pt_ter_32">'ВО. Т-во'!$94:$117</definedName>
    <definedName name="pt_ter_33">'ВО. Т-во'!$120:$143</definedName>
    <definedName name="pt_ter_34">'ВО. Т-во'!$146:$169</definedName>
    <definedName name="pt_ter_35">'ВО. Т-во'!$172:$195</definedName>
    <definedName name="pt_ter_36">'ВО. Т-во'!$198:$221</definedName>
    <definedName name="pt_ter_37">'ВО. Т-во'!$224:$247</definedName>
    <definedName name="pt_ter_38">'ВО. Т-во'!$250:$273</definedName>
    <definedName name="pt_ter_39">'ВО. Т-во'!$276:$299</definedName>
    <definedName name="pt_ter_4">'ТС. Т-гор.вода'!$50:$63</definedName>
    <definedName name="pt_ter_40">'ВО. Т-во'!$302:$325</definedName>
    <definedName name="pt_ter_41">'ВО. Т-во'!$328:$351</definedName>
    <definedName name="pt_ter_42">'ВО. Т-во'!$354:$377</definedName>
    <definedName name="pt_ter_43">'ВО. Т-во'!$380:$403</definedName>
    <definedName name="pt_ter_44">'ВО. Т-во'!$406:$429</definedName>
    <definedName name="pt_ter_45">'ВО. Т-во'!$432:$455</definedName>
    <definedName name="pt_ter_46">'ВО. Т-во'!$458:$481</definedName>
    <definedName name="pt_ter_47">'ВО. Т-во'!$484:$507</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55">'Список территорий'!$G$17:$I$19</definedName>
    <definedName name="ter_56">'Список территорий'!$G$22:$I$22</definedName>
    <definedName name="ter_57">'Список территорий'!$G$25:$I$25</definedName>
    <definedName name="ter_58">'Список территорий'!$G$28:$I$29</definedName>
    <definedName name="ter_59">'Список территорий'!$G$32:$I$32</definedName>
    <definedName name="ter_60">'Список территорий'!$G$35:$I$35</definedName>
    <definedName name="ter_61">'Список территорий'!$G$38:$I$38</definedName>
    <definedName name="ter_62">'Список территорий'!$G$41:$I$41</definedName>
    <definedName name="ter_63">'Список территорий'!$G$44:$I$44</definedName>
    <definedName name="ter_64">'Список территорий'!$G$47:$I$47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территорий'!$E$11:$I$49</definedName>
    <definedName name="TERRITORY_ID">TEHSHEET!$E$56</definedName>
    <definedName name="TERRITORY_LIST_ID">'Список территорий'!$F$11:$F$49</definedName>
    <definedName name="TERRITORY_MO_LIST">'Список территорий'!$H$11:$H$49</definedName>
    <definedName name="TERRITORY_MR_LIST">'Список территорий'!$G$11:$G$49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R24" i="61"/>
  <c r="O18"/>
  <c r="P18" s="1"/>
  <c r="Q18" s="1"/>
  <c r="R18" s="1"/>
  <c r="S18" s="1"/>
  <c r="T18" s="1"/>
  <c r="V18" s="1"/>
  <c r="X18" s="1"/>
  <c r="O10"/>
  <c r="O9"/>
  <c r="O8"/>
  <c r="O7"/>
  <c r="AA32" i="60"/>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9"/>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8"/>
  <c r="AA31"/>
  <c r="AA30"/>
  <c r="AA29"/>
  <c r="AA28"/>
  <c r="AA27"/>
  <c r="AA26"/>
  <c r="R26"/>
  <c r="AA25"/>
  <c r="AA24"/>
  <c r="AA23"/>
  <c r="AA22"/>
  <c r="AA21"/>
  <c r="AA20"/>
  <c r="AA19"/>
  <c r="Q18"/>
  <c r="R18" s="1"/>
  <c r="S18" s="1"/>
  <c r="T18" s="1"/>
  <c r="V18" s="1"/>
  <c r="W18" s="1"/>
  <c r="X18" s="1"/>
  <c r="N18"/>
  <c r="O18" s="1"/>
  <c r="O11"/>
  <c r="O10"/>
  <c r="O9"/>
  <c r="O8"/>
  <c r="L6"/>
  <c r="K101" i="57"/>
  <c r="N101" s="1"/>
  <c r="J101"/>
  <c r="M101" s="1"/>
  <c r="F130" i="30" s="1"/>
  <c r="I101" i="57"/>
  <c r="L101" s="1"/>
  <c r="E130" i="30" s="1"/>
  <c r="K100" i="57"/>
  <c r="N100" s="1"/>
  <c r="J129" i="30" s="1"/>
  <c r="J100" i="57"/>
  <c r="M100" s="1"/>
  <c r="I100"/>
  <c r="L100" s="1"/>
  <c r="E129" i="30" s="1"/>
  <c r="K99" i="57"/>
  <c r="N99" s="1"/>
  <c r="J99"/>
  <c r="M99" s="1"/>
  <c r="I99"/>
  <c r="L99" s="1"/>
  <c r="E128" i="30" s="1"/>
  <c r="K98" i="57"/>
  <c r="N98" s="1"/>
  <c r="J127" i="30" s="1"/>
  <c r="J98" i="57"/>
  <c r="M98" s="1"/>
  <c r="I98"/>
  <c r="L98" s="1"/>
  <c r="L97"/>
  <c r="K97"/>
  <c r="N97" s="1"/>
  <c r="J97"/>
  <c r="M97" s="1"/>
  <c r="F126" i="30" s="1"/>
  <c r="I97" i="57"/>
  <c r="K96"/>
  <c r="N96" s="1"/>
  <c r="J96"/>
  <c r="M96" s="1"/>
  <c r="F123" i="30" s="1"/>
  <c r="I96" i="57"/>
  <c r="L96" s="1"/>
  <c r="K95"/>
  <c r="N95" s="1"/>
  <c r="J95"/>
  <c r="M95" s="1"/>
  <c r="F120" i="30" s="1"/>
  <c r="I95" i="57"/>
  <c r="L95" s="1"/>
  <c r="K94"/>
  <c r="N94" s="1"/>
  <c r="J94"/>
  <c r="M94" s="1"/>
  <c r="F117" i="30" s="1"/>
  <c r="I94" i="57"/>
  <c r="L94" s="1"/>
  <c r="K93"/>
  <c r="N93" s="1"/>
  <c r="J93"/>
  <c r="M93" s="1"/>
  <c r="F116" i="30" s="1"/>
  <c r="I93" i="57"/>
  <c r="L93" s="1"/>
  <c r="E116" i="30" s="1"/>
  <c r="K92" i="57"/>
  <c r="N92" s="1"/>
  <c r="J92"/>
  <c r="M92" s="1"/>
  <c r="I92"/>
  <c r="L92" s="1"/>
  <c r="M91"/>
  <c r="K91"/>
  <c r="N91" s="1"/>
  <c r="J114" i="30" s="1"/>
  <c r="J91" i="57"/>
  <c r="I91"/>
  <c r="L91" s="1"/>
  <c r="K90"/>
  <c r="N90" s="1"/>
  <c r="J90"/>
  <c r="M90" s="1"/>
  <c r="F113" i="30" s="1"/>
  <c r="I90" i="57"/>
  <c r="L90" s="1"/>
  <c r="K89"/>
  <c r="N89" s="1"/>
  <c r="J89"/>
  <c r="M89" s="1"/>
  <c r="F112" i="30" s="1"/>
  <c r="I89" i="57"/>
  <c r="L89" s="1"/>
  <c r="E112" i="30" s="1"/>
  <c r="K88" i="57"/>
  <c r="N88" s="1"/>
  <c r="J88"/>
  <c r="M88" s="1"/>
  <c r="I88"/>
  <c r="L88" s="1"/>
  <c r="K87"/>
  <c r="N87" s="1"/>
  <c r="J110" i="30" s="1"/>
  <c r="J87" i="57"/>
  <c r="M87" s="1"/>
  <c r="F110" i="30" s="1"/>
  <c r="I87" i="57"/>
  <c r="L87" s="1"/>
  <c r="K86"/>
  <c r="N86" s="1"/>
  <c r="J86"/>
  <c r="M86" s="1"/>
  <c r="F109" i="30" s="1"/>
  <c r="I86" i="57"/>
  <c r="L86" s="1"/>
  <c r="K85"/>
  <c r="N85" s="1"/>
  <c r="J85"/>
  <c r="M85" s="1"/>
  <c r="F108" i="30" s="1"/>
  <c r="I85" i="57"/>
  <c r="L85" s="1"/>
  <c r="E108" i="30" s="1"/>
  <c r="K84" i="57"/>
  <c r="N84" s="1"/>
  <c r="J84"/>
  <c r="M84" s="1"/>
  <c r="F107" i="30" s="1"/>
  <c r="I84" i="57"/>
  <c r="L84" s="1"/>
  <c r="K83"/>
  <c r="N83" s="1"/>
  <c r="J106" i="30" s="1"/>
  <c r="J83" i="57"/>
  <c r="M83" s="1"/>
  <c r="F106" i="30" s="1"/>
  <c r="I83" i="57"/>
  <c r="L83" s="1"/>
  <c r="K82"/>
  <c r="N82" s="1"/>
  <c r="J82"/>
  <c r="M82" s="1"/>
  <c r="F105" i="30" s="1"/>
  <c r="I82" i="57"/>
  <c r="L82" s="1"/>
  <c r="K81"/>
  <c r="N81" s="1"/>
  <c r="J81"/>
  <c r="M81" s="1"/>
  <c r="F104" i="30" s="1"/>
  <c r="I81" i="57"/>
  <c r="L81" s="1"/>
  <c r="E104" i="30" s="1"/>
  <c r="K80" i="57"/>
  <c r="N80" s="1"/>
  <c r="J80"/>
  <c r="M80" s="1"/>
  <c r="F103" i="30" s="1"/>
  <c r="I80" i="57"/>
  <c r="L80" s="1"/>
  <c r="K79"/>
  <c r="N79" s="1"/>
  <c r="J102" i="30" s="1"/>
  <c r="J79" i="57"/>
  <c r="M79" s="1"/>
  <c r="F102" i="30" s="1"/>
  <c r="I79" i="57"/>
  <c r="L79" s="1"/>
  <c r="K78"/>
  <c r="N78" s="1"/>
  <c r="J99" i="30" s="1"/>
  <c r="J78" i="57"/>
  <c r="M78" s="1"/>
  <c r="F99" i="30" s="1"/>
  <c r="I78" i="57"/>
  <c r="L78" s="1"/>
  <c r="K77"/>
  <c r="N77" s="1"/>
  <c r="J77"/>
  <c r="M77" s="1"/>
  <c r="F98" i="30" s="1"/>
  <c r="I77" i="57"/>
  <c r="L77" s="1"/>
  <c r="K76"/>
  <c r="N76" s="1"/>
  <c r="J76"/>
  <c r="M76" s="1"/>
  <c r="F97" i="30" s="1"/>
  <c r="I76" i="57"/>
  <c r="L76" s="1"/>
  <c r="E97" i="30" s="1"/>
  <c r="K75" i="57"/>
  <c r="N75" s="1"/>
  <c r="J75"/>
  <c r="M75" s="1"/>
  <c r="F96" i="30" s="1"/>
  <c r="I75" i="57"/>
  <c r="L75" s="1"/>
  <c r="K74"/>
  <c r="N74" s="1"/>
  <c r="J95" i="30" s="1"/>
  <c r="J74" i="57"/>
  <c r="M74" s="1"/>
  <c r="F95" i="30" s="1"/>
  <c r="I74" i="57"/>
  <c r="L74" s="1"/>
  <c r="K73"/>
  <c r="N73" s="1"/>
  <c r="J73"/>
  <c r="M73" s="1"/>
  <c r="F94" i="30" s="1"/>
  <c r="I73" i="57"/>
  <c r="L73" s="1"/>
  <c r="K72"/>
  <c r="N72" s="1"/>
  <c r="J72"/>
  <c r="M72" s="1"/>
  <c r="F93" i="30" s="1"/>
  <c r="I72" i="57"/>
  <c r="L72" s="1"/>
  <c r="E93" i="30" s="1"/>
  <c r="K71" i="57"/>
  <c r="N71" s="1"/>
  <c r="J71"/>
  <c r="M71" s="1"/>
  <c r="F92" i="30" s="1"/>
  <c r="I71" i="57"/>
  <c r="L71" s="1"/>
  <c r="K70"/>
  <c r="N70" s="1"/>
  <c r="J91" i="30" s="1"/>
  <c r="J70" i="57"/>
  <c r="M70" s="1"/>
  <c r="F91" i="30" s="1"/>
  <c r="I70" i="57"/>
  <c r="L70" s="1"/>
  <c r="K69"/>
  <c r="N69" s="1"/>
  <c r="J69"/>
  <c r="M69" s="1"/>
  <c r="F90" i="30" s="1"/>
  <c r="I69" i="57"/>
  <c r="L69" s="1"/>
  <c r="K68"/>
  <c r="N68" s="1"/>
  <c r="J68"/>
  <c r="M68" s="1"/>
  <c r="F89" i="30" s="1"/>
  <c r="I68" i="57"/>
  <c r="L68" s="1"/>
  <c r="E89" i="30" s="1"/>
  <c r="K67" i="57"/>
  <c r="N67" s="1"/>
  <c r="J67"/>
  <c r="M67" s="1"/>
  <c r="F88" i="30" s="1"/>
  <c r="I67" i="57"/>
  <c r="L67" s="1"/>
  <c r="K66"/>
  <c r="N66" s="1"/>
  <c r="J87" i="30" s="1"/>
  <c r="J66" i="57"/>
  <c r="M66" s="1"/>
  <c r="F87" i="30" s="1"/>
  <c r="I66" i="57"/>
  <c r="L66" s="1"/>
  <c r="E87" i="30" s="1"/>
  <c r="K65" i="57"/>
  <c r="N65" s="1"/>
  <c r="J65"/>
  <c r="M65" s="1"/>
  <c r="F86" i="30" s="1"/>
  <c r="I65" i="57"/>
  <c r="L65" s="1"/>
  <c r="K64"/>
  <c r="N64" s="1"/>
  <c r="J85" i="30" s="1"/>
  <c r="J64" i="57"/>
  <c r="M64" s="1"/>
  <c r="F85" i="30" s="1"/>
  <c r="I64" i="57"/>
  <c r="L64" s="1"/>
  <c r="K63"/>
  <c r="N63" s="1"/>
  <c r="J63"/>
  <c r="M63" s="1"/>
  <c r="F84" i="30" s="1"/>
  <c r="I63" i="57"/>
  <c r="L63" s="1"/>
  <c r="K62"/>
  <c r="N62" s="1"/>
  <c r="J62"/>
  <c r="M62" s="1"/>
  <c r="F83" i="30" s="1"/>
  <c r="I62" i="57"/>
  <c r="L62" s="1"/>
  <c r="E83" i="30" s="1"/>
  <c r="K61" i="57"/>
  <c r="N61" s="1"/>
  <c r="J61"/>
  <c r="M61" s="1"/>
  <c r="F82" i="30" s="1"/>
  <c r="I61" i="57"/>
  <c r="L61" s="1"/>
  <c r="K60"/>
  <c r="N60" s="1"/>
  <c r="J81" i="30" s="1"/>
  <c r="J60" i="57"/>
  <c r="M60" s="1"/>
  <c r="F81" i="30" s="1"/>
  <c r="I60" i="57"/>
  <c r="L60" s="1"/>
  <c r="K59"/>
  <c r="N59" s="1"/>
  <c r="J59"/>
  <c r="M59" s="1"/>
  <c r="F80" i="30" s="1"/>
  <c r="I59" i="57"/>
  <c r="L59" s="1"/>
  <c r="K58"/>
  <c r="N58" s="1"/>
  <c r="J58"/>
  <c r="M58" s="1"/>
  <c r="F79" i="30" s="1"/>
  <c r="I58" i="57"/>
  <c r="L58" s="1"/>
  <c r="E79" i="30" s="1"/>
  <c r="K57" i="57"/>
  <c r="N57" s="1"/>
  <c r="J57"/>
  <c r="M57" s="1"/>
  <c r="F78" i="30" s="1"/>
  <c r="I57" i="57"/>
  <c r="L57" s="1"/>
  <c r="K56"/>
  <c r="N56" s="1"/>
  <c r="J77" i="30" s="1"/>
  <c r="J56" i="57"/>
  <c r="M56" s="1"/>
  <c r="F77" i="30" s="1"/>
  <c r="I56" i="57"/>
  <c r="L56" s="1"/>
  <c r="K55"/>
  <c r="N55" s="1"/>
  <c r="J55"/>
  <c r="M55" s="1"/>
  <c r="F76" i="30" s="1"/>
  <c r="I55" i="57"/>
  <c r="L55" s="1"/>
  <c r="K54"/>
  <c r="N54" s="1"/>
  <c r="J54"/>
  <c r="M54" s="1"/>
  <c r="F75" i="30" s="1"/>
  <c r="I54" i="57"/>
  <c r="L54" s="1"/>
  <c r="E75" i="30" s="1"/>
  <c r="K53" i="57"/>
  <c r="N53" s="1"/>
  <c r="J53"/>
  <c r="M53" s="1"/>
  <c r="F74" i="30" s="1"/>
  <c r="I53" i="57"/>
  <c r="L53" s="1"/>
  <c r="K52"/>
  <c r="N52" s="1"/>
  <c r="J73" i="30" s="1"/>
  <c r="J52" i="57"/>
  <c r="M52" s="1"/>
  <c r="F73" i="30" s="1"/>
  <c r="I52" i="57"/>
  <c r="L52" s="1"/>
  <c r="K51"/>
  <c r="N51" s="1"/>
  <c r="J51"/>
  <c r="M51" s="1"/>
  <c r="F72" i="30" s="1"/>
  <c r="I51" i="57"/>
  <c r="L51" s="1"/>
  <c r="K50"/>
  <c r="N50" s="1"/>
  <c r="J50"/>
  <c r="M50" s="1"/>
  <c r="F69" i="30" s="1"/>
  <c r="I50" i="57"/>
  <c r="L50" s="1"/>
  <c r="K49"/>
  <c r="N49" s="1"/>
  <c r="J68" i="30" s="1"/>
  <c r="J49" i="57"/>
  <c r="M49" s="1"/>
  <c r="F68" i="30" s="1"/>
  <c r="I49" i="57"/>
  <c r="L49" s="1"/>
  <c r="K48"/>
  <c r="N48" s="1"/>
  <c r="J67" i="30" s="1"/>
  <c r="J48" i="57"/>
  <c r="M48" s="1"/>
  <c r="F67" i="30" s="1"/>
  <c r="I48" i="57"/>
  <c r="L48" s="1"/>
  <c r="K47"/>
  <c r="N47" s="1"/>
  <c r="J47"/>
  <c r="M47" s="1"/>
  <c r="F66" i="30" s="1"/>
  <c r="I47" i="57"/>
  <c r="L47" s="1"/>
  <c r="K46"/>
  <c r="N46" s="1"/>
  <c r="J46"/>
  <c r="M46" s="1"/>
  <c r="F65" i="30" s="1"/>
  <c r="I46" i="57"/>
  <c r="L46" s="1"/>
  <c r="K45"/>
  <c r="N45" s="1"/>
  <c r="J45"/>
  <c r="M45" s="1"/>
  <c r="F64" i="30" s="1"/>
  <c r="I45" i="57"/>
  <c r="L45" s="1"/>
  <c r="K44"/>
  <c r="N44" s="1"/>
  <c r="J44"/>
  <c r="M44" s="1"/>
  <c r="F63" i="30" s="1"/>
  <c r="I44" i="57"/>
  <c r="L44" s="1"/>
  <c r="K43"/>
  <c r="N43" s="1"/>
  <c r="J43"/>
  <c r="M43" s="1"/>
  <c r="F62" i="30" s="1"/>
  <c r="I43" i="57"/>
  <c r="L43" s="1"/>
  <c r="K42"/>
  <c r="N42" s="1"/>
  <c r="J42"/>
  <c r="M42" s="1"/>
  <c r="F61" i="30" s="1"/>
  <c r="I42" i="57"/>
  <c r="L42" s="1"/>
  <c r="K41"/>
  <c r="N41" s="1"/>
  <c r="J41"/>
  <c r="M41" s="1"/>
  <c r="F60" i="30" s="1"/>
  <c r="I41" i="57"/>
  <c r="L41" s="1"/>
  <c r="K40"/>
  <c r="N40" s="1"/>
  <c r="J40"/>
  <c r="M40" s="1"/>
  <c r="F59" i="30" s="1"/>
  <c r="I40" i="57"/>
  <c r="L40" s="1"/>
  <c r="K39"/>
  <c r="N39" s="1"/>
  <c r="J39"/>
  <c r="M39" s="1"/>
  <c r="F58" i="30" s="1"/>
  <c r="I39" i="57"/>
  <c r="L39" s="1"/>
  <c r="K38"/>
  <c r="N38" s="1"/>
  <c r="J38"/>
  <c r="M38" s="1"/>
  <c r="F57" i="30" s="1"/>
  <c r="I38" i="57"/>
  <c r="L38" s="1"/>
  <c r="K37"/>
  <c r="N37" s="1"/>
  <c r="J37"/>
  <c r="M37" s="1"/>
  <c r="F56" i="30" s="1"/>
  <c r="I37" i="57"/>
  <c r="L37" s="1"/>
  <c r="K36"/>
  <c r="N36" s="1"/>
  <c r="J36"/>
  <c r="M36" s="1"/>
  <c r="F55" i="30" s="1"/>
  <c r="I36" i="57"/>
  <c r="L36" s="1"/>
  <c r="K35"/>
  <c r="N35" s="1"/>
  <c r="J35"/>
  <c r="M35" s="1"/>
  <c r="F54" i="30" s="1"/>
  <c r="I35" i="57"/>
  <c r="L35" s="1"/>
  <c r="K34"/>
  <c r="N34" s="1"/>
  <c r="J34"/>
  <c r="M34" s="1"/>
  <c r="F53" i="30" s="1"/>
  <c r="I34" i="57"/>
  <c r="L34" s="1"/>
  <c r="K33"/>
  <c r="N33" s="1"/>
  <c r="J33"/>
  <c r="M33" s="1"/>
  <c r="F52" i="30" s="1"/>
  <c r="I33" i="57"/>
  <c r="L33" s="1"/>
  <c r="K32"/>
  <c r="N32" s="1"/>
  <c r="J32"/>
  <c r="M32" s="1"/>
  <c r="F51" i="30" s="1"/>
  <c r="I32" i="57"/>
  <c r="L32" s="1"/>
  <c r="K31"/>
  <c r="N31" s="1"/>
  <c r="J31"/>
  <c r="M31" s="1"/>
  <c r="F50" i="30" s="1"/>
  <c r="I31" i="57"/>
  <c r="L31" s="1"/>
  <c r="K30"/>
  <c r="N30" s="1"/>
  <c r="J30"/>
  <c r="M30" s="1"/>
  <c r="F49" i="30" s="1"/>
  <c r="I30" i="57"/>
  <c r="L30" s="1"/>
  <c r="K29"/>
  <c r="N29" s="1"/>
  <c r="J29"/>
  <c r="M29" s="1"/>
  <c r="F48" i="30" s="1"/>
  <c r="I29" i="57"/>
  <c r="L29" s="1"/>
  <c r="K28"/>
  <c r="N28" s="1"/>
  <c r="J28"/>
  <c r="M28" s="1"/>
  <c r="F47" i="30" s="1"/>
  <c r="I28" i="57"/>
  <c r="L28" s="1"/>
  <c r="K27"/>
  <c r="N27" s="1"/>
  <c r="J27"/>
  <c r="M27" s="1"/>
  <c r="F46" i="30" s="1"/>
  <c r="I27" i="57"/>
  <c r="L27" s="1"/>
  <c r="K26"/>
  <c r="N26" s="1"/>
  <c r="J26"/>
  <c r="M26" s="1"/>
  <c r="F45" i="30" s="1"/>
  <c r="I26" i="57"/>
  <c r="L26" s="1"/>
  <c r="K25"/>
  <c r="N25" s="1"/>
  <c r="J25"/>
  <c r="M25" s="1"/>
  <c r="F44" i="30" s="1"/>
  <c r="I25" i="57"/>
  <c r="L25" s="1"/>
  <c r="K24"/>
  <c r="N24" s="1"/>
  <c r="J24"/>
  <c r="M24" s="1"/>
  <c r="F43" i="30" s="1"/>
  <c r="I24" i="57"/>
  <c r="L24" s="1"/>
  <c r="K23"/>
  <c r="N23" s="1"/>
  <c r="J23"/>
  <c r="M23" s="1"/>
  <c r="F42" i="30" s="1"/>
  <c r="I23" i="57"/>
  <c r="L23" s="1"/>
  <c r="K22"/>
  <c r="N22" s="1"/>
  <c r="J22"/>
  <c r="M22" s="1"/>
  <c r="F41" i="30" s="1"/>
  <c r="I22" i="57"/>
  <c r="L22" s="1"/>
  <c r="K21"/>
  <c r="N21" s="1"/>
  <c r="J21"/>
  <c r="M21" s="1"/>
  <c r="F33" i="30" s="1"/>
  <c r="I21" i="57"/>
  <c r="L21" s="1"/>
  <c r="K20"/>
  <c r="N20" s="1"/>
  <c r="J20"/>
  <c r="M20" s="1"/>
  <c r="F32" i="30" s="1"/>
  <c r="I20" i="57"/>
  <c r="L20" s="1"/>
  <c r="K19"/>
  <c r="N19" s="1"/>
  <c r="J19"/>
  <c r="M19" s="1"/>
  <c r="F31" i="30" s="1"/>
  <c r="I19" i="57"/>
  <c r="L19" s="1"/>
  <c r="K18"/>
  <c r="N18" s="1"/>
  <c r="J18"/>
  <c r="M18" s="1"/>
  <c r="F30" i="30" s="1"/>
  <c r="I18" i="57"/>
  <c r="L18" s="1"/>
  <c r="N14"/>
  <c r="M13"/>
  <c r="M12"/>
  <c r="E16" i="40" s="1"/>
  <c r="M11" i="57"/>
  <c r="N3"/>
  <c r="C34" i="56"/>
  <c r="C8"/>
  <c r="C7"/>
  <c r="E5" i="31" s="1"/>
  <c r="C2" i="56"/>
  <c r="I53" i="55"/>
  <c r="H53"/>
  <c r="G53"/>
  <c r="I52"/>
  <c r="H52"/>
  <c r="G52"/>
  <c r="E29" s="1"/>
  <c r="I51"/>
  <c r="H51"/>
  <c r="G51"/>
  <c r="I50"/>
  <c r="H50"/>
  <c r="G50"/>
  <c r="I49"/>
  <c r="H49"/>
  <c r="G49"/>
  <c r="I48"/>
  <c r="H48"/>
  <c r="G48"/>
  <c r="J47"/>
  <c r="I47"/>
  <c r="H47"/>
  <c r="G47"/>
  <c r="J46"/>
  <c r="I46"/>
  <c r="K45"/>
  <c r="I45"/>
  <c r="G36"/>
  <c r="E31" i="56" s="1"/>
  <c r="C31" s="1"/>
  <c r="F36" i="55"/>
  <c r="U148" i="57" s="1"/>
  <c r="M148" s="1"/>
  <c r="E12" i="41" s="1"/>
  <c r="F32" i="55"/>
  <c r="E32"/>
  <c r="F29"/>
  <c r="L5"/>
  <c r="L4"/>
  <c r="L3"/>
  <c r="V194" i="54"/>
  <c r="N179"/>
  <c r="N174"/>
  <c r="N168"/>
  <c r="N157"/>
  <c r="N152"/>
  <c r="N146"/>
  <c r="R131"/>
  <c r="Q131"/>
  <c r="Q122"/>
  <c r="H121"/>
  <c r="H120"/>
  <c r="H119"/>
  <c r="Q113"/>
  <c r="Q110"/>
  <c r="H109"/>
  <c r="H108"/>
  <c r="H107"/>
  <c r="F101"/>
  <c r="AD95"/>
  <c r="AD89"/>
  <c r="AD84"/>
  <c r="AD76"/>
  <c r="F73"/>
  <c r="P64"/>
  <c r="I29"/>
  <c r="I23"/>
  <c r="O19"/>
  <c r="M19" a="1"/>
  <c r="M19"/>
  <c r="F19"/>
  <c r="O14"/>
  <c r="M14" a="1"/>
  <c r="M14"/>
  <c r="F14"/>
  <c r="E14"/>
  <c r="E13"/>
  <c r="G13" s="1"/>
  <c r="S11" i="51" a="1"/>
  <c r="S11" s="1"/>
  <c r="G11"/>
  <c r="O9"/>
  <c r="S2" a="1"/>
  <c r="S2" s="1"/>
  <c r="G2"/>
  <c r="R10" i="50"/>
  <c r="P10" a="1"/>
  <c r="P10"/>
  <c r="K8"/>
  <c r="J8"/>
  <c r="G8"/>
  <c r="E5"/>
  <c r="R2"/>
  <c r="P2" a="1"/>
  <c r="P2" s="1"/>
  <c r="P9" i="49"/>
  <c r="N9" a="1"/>
  <c r="N9" s="1"/>
  <c r="E5"/>
  <c r="P2"/>
  <c r="N2" a="1"/>
  <c r="N2" s="1"/>
  <c r="F12" i="48"/>
  <c r="F2" i="50" s="1"/>
  <c r="D6" i="48"/>
  <c r="D5"/>
  <c r="I14" i="45"/>
  <c r="G14"/>
  <c r="G11"/>
  <c r="G10"/>
  <c r="G9"/>
  <c r="D6"/>
  <c r="E13" i="44"/>
  <c r="H12"/>
  <c r="E12"/>
  <c r="E11"/>
  <c r="E10"/>
  <c r="D6"/>
  <c r="M394" i="43"/>
  <c r="F393"/>
  <c r="M302"/>
  <c r="F301"/>
  <c r="M210"/>
  <c r="F209"/>
  <c r="M118"/>
  <c r="F115"/>
  <c r="M24"/>
  <c r="F23"/>
  <c r="G17"/>
  <c r="F17"/>
  <c r="G16"/>
  <c r="F16"/>
  <c r="E14"/>
  <c r="N7"/>
  <c r="N4"/>
  <c r="N1"/>
  <c r="E42" i="42"/>
  <c r="E38"/>
  <c r="E35"/>
  <c r="E32"/>
  <c r="E31"/>
  <c r="E28"/>
  <c r="E25"/>
  <c r="E24"/>
  <c r="D15"/>
  <c r="G17" i="41"/>
  <c r="E16"/>
  <c r="G14"/>
  <c r="E13"/>
  <c r="D6"/>
  <c r="F21" i="40"/>
  <c r="H19"/>
  <c r="G19"/>
  <c r="F19"/>
  <c r="I18"/>
  <c r="E17"/>
  <c r="E15"/>
  <c r="H14"/>
  <c r="G14"/>
  <c r="G11"/>
  <c r="G10"/>
  <c r="G9"/>
  <c r="D6"/>
  <c r="F2"/>
  <c r="F6" i="39"/>
  <c r="H57" i="38"/>
  <c r="H56"/>
  <c r="H55"/>
  <c r="I54"/>
  <c r="H54" s="1"/>
  <c r="H53"/>
  <c r="H52"/>
  <c r="H51"/>
  <c r="H50"/>
  <c r="I49"/>
  <c r="H49"/>
  <c r="I48"/>
  <c r="H48" s="1"/>
  <c r="H47"/>
  <c r="H46"/>
  <c r="H45"/>
  <c r="I44"/>
  <c r="H44" s="1"/>
  <c r="H43"/>
  <c r="H42"/>
  <c r="H41"/>
  <c r="H40"/>
  <c r="I39"/>
  <c r="I38" s="1"/>
  <c r="H39"/>
  <c r="H35"/>
  <c r="H34"/>
  <c r="H33"/>
  <c r="I32"/>
  <c r="H32" s="1"/>
  <c r="H31"/>
  <c r="H30"/>
  <c r="H29"/>
  <c r="I28"/>
  <c r="H28" s="1"/>
  <c r="H27"/>
  <c r="H26"/>
  <c r="H25"/>
  <c r="H24"/>
  <c r="H23"/>
  <c r="H22"/>
  <c r="H21"/>
  <c r="H20"/>
  <c r="H19"/>
  <c r="H18"/>
  <c r="H17"/>
  <c r="H16"/>
  <c r="I15"/>
  <c r="I36" s="1"/>
  <c r="H36" s="1"/>
  <c r="H15"/>
  <c r="H11"/>
  <c r="F6"/>
  <c r="F6" i="37"/>
  <c r="H15" i="36"/>
  <c r="F6"/>
  <c r="G28" i="35"/>
  <c r="G27"/>
  <c r="G26"/>
  <c r="D23"/>
  <c r="D22"/>
  <c r="D14"/>
  <c r="D13"/>
  <c r="D11"/>
  <c r="D10"/>
  <c r="D9"/>
  <c r="D7"/>
  <c r="D6"/>
  <c r="D4"/>
  <c r="D3"/>
  <c r="J12" i="34"/>
  <c r="I12"/>
  <c r="H12"/>
  <c r="G12"/>
  <c r="G9"/>
  <c r="G8"/>
  <c r="G7"/>
  <c r="D4"/>
  <c r="D3"/>
  <c r="E28" i="33"/>
  <c r="I27"/>
  <c r="I16" s="1"/>
  <c r="H27"/>
  <c r="H16" s="1"/>
  <c r="H12"/>
  <c r="H11"/>
  <c r="H10"/>
  <c r="E7"/>
  <c r="E33" i="32"/>
  <c r="I32"/>
  <c r="I16" s="1"/>
  <c r="H32"/>
  <c r="H16" s="1"/>
  <c r="H12"/>
  <c r="H11"/>
  <c r="H10"/>
  <c r="E7"/>
  <c r="V20" i="31"/>
  <c r="Q20"/>
  <c r="V17"/>
  <c r="Q17"/>
  <c r="E6"/>
  <c r="J130" i="30"/>
  <c r="F129"/>
  <c r="J128"/>
  <c r="F128"/>
  <c r="F127"/>
  <c r="E127"/>
  <c r="J126"/>
  <c r="E126"/>
  <c r="E124"/>
  <c r="J123"/>
  <c r="E123"/>
  <c r="E121"/>
  <c r="J120"/>
  <c r="E120"/>
  <c r="J117"/>
  <c r="E117"/>
  <c r="E118" s="1"/>
  <c r="J116"/>
  <c r="J115"/>
  <c r="F115"/>
  <c r="E115"/>
  <c r="F114"/>
  <c r="E114"/>
  <c r="J113"/>
  <c r="E113"/>
  <c r="J112"/>
  <c r="J111"/>
  <c r="F111"/>
  <c r="E111"/>
  <c r="E110"/>
  <c r="J109"/>
  <c r="E109"/>
  <c r="J108"/>
  <c r="J107"/>
  <c r="E107"/>
  <c r="E106"/>
  <c r="J105"/>
  <c r="E105"/>
  <c r="J104"/>
  <c r="J103"/>
  <c r="E103"/>
  <c r="E102"/>
  <c r="E99"/>
  <c r="E100" s="1"/>
  <c r="J98"/>
  <c r="E98"/>
  <c r="J97"/>
  <c r="J96"/>
  <c r="E96"/>
  <c r="E95"/>
  <c r="J94"/>
  <c r="E94"/>
  <c r="J93"/>
  <c r="J92"/>
  <c r="E92"/>
  <c r="E91"/>
  <c r="J90"/>
  <c r="E90"/>
  <c r="J89"/>
  <c r="J88"/>
  <c r="E88"/>
  <c r="I87"/>
  <c r="H87"/>
  <c r="J86"/>
  <c r="E86"/>
  <c r="E85"/>
  <c r="J84"/>
  <c r="E84"/>
  <c r="J83"/>
  <c r="J82"/>
  <c r="E82"/>
  <c r="E81"/>
  <c r="J80"/>
  <c r="E80"/>
  <c r="J79"/>
  <c r="J78"/>
  <c r="E78"/>
  <c r="E77"/>
  <c r="J76"/>
  <c r="E76"/>
  <c r="J75"/>
  <c r="J74"/>
  <c r="E74"/>
  <c r="E73"/>
  <c r="J72"/>
  <c r="E72"/>
  <c r="J69"/>
  <c r="I69"/>
  <c r="H69"/>
  <c r="E69"/>
  <c r="K69" s="1"/>
  <c r="L68"/>
  <c r="E68"/>
  <c r="K68" s="1"/>
  <c r="E67"/>
  <c r="K67" s="1"/>
  <c r="J66"/>
  <c r="L66" s="1"/>
  <c r="E66"/>
  <c r="K66" s="1"/>
  <c r="J65"/>
  <c r="E65"/>
  <c r="K65" s="1"/>
  <c r="J64"/>
  <c r="E64"/>
  <c r="K64" s="1"/>
  <c r="J63"/>
  <c r="E63"/>
  <c r="K63" s="1"/>
  <c r="J62"/>
  <c r="E62"/>
  <c r="K62" s="1"/>
  <c r="J61"/>
  <c r="E61"/>
  <c r="K61" s="1"/>
  <c r="J60"/>
  <c r="E60"/>
  <c r="K60" s="1"/>
  <c r="J59"/>
  <c r="E59"/>
  <c r="K59" s="1"/>
  <c r="J58"/>
  <c r="E58"/>
  <c r="K58" s="1"/>
  <c r="J57"/>
  <c r="E57"/>
  <c r="K57" s="1"/>
  <c r="J56"/>
  <c r="E56"/>
  <c r="K56" s="1"/>
  <c r="J55"/>
  <c r="E55"/>
  <c r="K55" s="1"/>
  <c r="J54"/>
  <c r="E54"/>
  <c r="K54" s="1"/>
  <c r="J53"/>
  <c r="E53"/>
  <c r="K53" s="1"/>
  <c r="J52"/>
  <c r="E52"/>
  <c r="K52" s="1"/>
  <c r="J51"/>
  <c r="E51"/>
  <c r="K51" s="1"/>
  <c r="J50"/>
  <c r="E50"/>
  <c r="K50" s="1"/>
  <c r="J49"/>
  <c r="E49"/>
  <c r="K49" s="1"/>
  <c r="J48"/>
  <c r="E48"/>
  <c r="K48" s="1"/>
  <c r="J47"/>
  <c r="E47"/>
  <c r="K47" s="1"/>
  <c r="J46"/>
  <c r="E46"/>
  <c r="K46" s="1"/>
  <c r="J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7"/>
  <c r="E6"/>
  <c r="E5"/>
  <c r="E4"/>
  <c r="I3"/>
  <c r="H3"/>
  <c r="E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09" i="24"/>
  <c r="AN508"/>
  <c r="AN507"/>
  <c r="AN506"/>
  <c r="AN505"/>
  <c r="AN504"/>
  <c r="AN503"/>
  <c r="AE503"/>
  <c r="X503"/>
  <c r="AN502"/>
  <c r="AK502"/>
  <c r="AN501"/>
  <c r="AE501"/>
  <c r="X501"/>
  <c r="AN500"/>
  <c r="AK500"/>
  <c r="AN499"/>
  <c r="AN498"/>
  <c r="AN497"/>
  <c r="AE497"/>
  <c r="X497"/>
  <c r="AN496"/>
  <c r="AK496"/>
  <c r="AN495"/>
  <c r="AE495"/>
  <c r="X495"/>
  <c r="AN494"/>
  <c r="AK494"/>
  <c r="AN493"/>
  <c r="AN492"/>
  <c r="AN491"/>
  <c r="AE491"/>
  <c r="X491"/>
  <c r="AN490"/>
  <c r="AK490"/>
  <c r="AN489"/>
  <c r="AE489"/>
  <c r="X489"/>
  <c r="AN488"/>
  <c r="AK488"/>
  <c r="AN487"/>
  <c r="AN486"/>
  <c r="AN485"/>
  <c r="AN484"/>
  <c r="AN483"/>
  <c r="AK483"/>
  <c r="AN482"/>
  <c r="AN481"/>
  <c r="AN480"/>
  <c r="AN479"/>
  <c r="AN478"/>
  <c r="AN477"/>
  <c r="AE477"/>
  <c r="X477"/>
  <c r="AN476"/>
  <c r="AK476"/>
  <c r="AN475"/>
  <c r="AE475"/>
  <c r="X475"/>
  <c r="AN474"/>
  <c r="AK474"/>
  <c r="AN473"/>
  <c r="AN472"/>
  <c r="AN471"/>
  <c r="AE471"/>
  <c r="X471"/>
  <c r="AN470"/>
  <c r="AK470"/>
  <c r="AN469"/>
  <c r="AE469"/>
  <c r="X469"/>
  <c r="AN468"/>
  <c r="AK468"/>
  <c r="AN467"/>
  <c r="AN466"/>
  <c r="AN465"/>
  <c r="AE465"/>
  <c r="X465"/>
  <c r="AN464"/>
  <c r="AK464"/>
  <c r="AN463"/>
  <c r="AE463"/>
  <c r="X463"/>
  <c r="AN462"/>
  <c r="AK462"/>
  <c r="AN461"/>
  <c r="AN460"/>
  <c r="AN459"/>
  <c r="AN458"/>
  <c r="AN457"/>
  <c r="AK457"/>
  <c r="AN456"/>
  <c r="AN455"/>
  <c r="AN454"/>
  <c r="AN453"/>
  <c r="AN452"/>
  <c r="AN451"/>
  <c r="AE451"/>
  <c r="X451"/>
  <c r="AN450"/>
  <c r="AK450"/>
  <c r="AN449"/>
  <c r="AE449"/>
  <c r="X449"/>
  <c r="AN448"/>
  <c r="AK448"/>
  <c r="AN447"/>
  <c r="AN446"/>
  <c r="AN445"/>
  <c r="AE445"/>
  <c r="X445"/>
  <c r="AN444"/>
  <c r="AK444"/>
  <c r="AN443"/>
  <c r="AE443"/>
  <c r="X443"/>
  <c r="AN442"/>
  <c r="AK442"/>
  <c r="AN441"/>
  <c r="AN440"/>
  <c r="AN439"/>
  <c r="AE439"/>
  <c r="X439"/>
  <c r="AN438"/>
  <c r="AK438"/>
  <c r="AN437"/>
  <c r="AE437"/>
  <c r="X437"/>
  <c r="AN436"/>
  <c r="AK436"/>
  <c r="AN435"/>
  <c r="AN434"/>
  <c r="AN433"/>
  <c r="AN432"/>
  <c r="AN431"/>
  <c r="AK431"/>
  <c r="AN430"/>
  <c r="AN429"/>
  <c r="AN428"/>
  <c r="AN427"/>
  <c r="AN426"/>
  <c r="AN425"/>
  <c r="AE425"/>
  <c r="X425"/>
  <c r="AN424"/>
  <c r="AK424"/>
  <c r="AN423"/>
  <c r="AE423"/>
  <c r="X423"/>
  <c r="AN422"/>
  <c r="AK422"/>
  <c r="AN421"/>
  <c r="AN420"/>
  <c r="AN419"/>
  <c r="AE419"/>
  <c r="X419"/>
  <c r="AN418"/>
  <c r="AK418"/>
  <c r="AN417"/>
  <c r="AE417"/>
  <c r="X417"/>
  <c r="AN416"/>
  <c r="AK416"/>
  <c r="AN415"/>
  <c r="AN414"/>
  <c r="AN413"/>
  <c r="AE413"/>
  <c r="X413"/>
  <c r="AN412"/>
  <c r="AK412"/>
  <c r="AN411"/>
  <c r="AE411"/>
  <c r="X411"/>
  <c r="AN410"/>
  <c r="AK410"/>
  <c r="AN409"/>
  <c r="AN408"/>
  <c r="AN407"/>
  <c r="AN406"/>
  <c r="AN405"/>
  <c r="AK405"/>
  <c r="AN404"/>
  <c r="AN403"/>
  <c r="AN402"/>
  <c r="AN401"/>
  <c r="AN400"/>
  <c r="AN399"/>
  <c r="AE399"/>
  <c r="X399"/>
  <c r="AN398"/>
  <c r="AK398"/>
  <c r="AN397"/>
  <c r="AE397"/>
  <c r="X397"/>
  <c r="AN396"/>
  <c r="AK396"/>
  <c r="AN395"/>
  <c r="AN394"/>
  <c r="AN393"/>
  <c r="AE393"/>
  <c r="X393"/>
  <c r="AN392"/>
  <c r="AK392"/>
  <c r="AN391"/>
  <c r="AE391"/>
  <c r="X391"/>
  <c r="AN390"/>
  <c r="AK390"/>
  <c r="AN389"/>
  <c r="AN388"/>
  <c r="AN387"/>
  <c r="AE387"/>
  <c r="X387"/>
  <c r="AN386"/>
  <c r="AK386"/>
  <c r="AN385"/>
  <c r="AE385"/>
  <c r="X385"/>
  <c r="AN384"/>
  <c r="AK384"/>
  <c r="AN383"/>
  <c r="AN382"/>
  <c r="AN381"/>
  <c r="AN380"/>
  <c r="AN379"/>
  <c r="AK379"/>
  <c r="AN378"/>
  <c r="AN377"/>
  <c r="AN376"/>
  <c r="AN375"/>
  <c r="AN374"/>
  <c r="AN373"/>
  <c r="AE373"/>
  <c r="X373"/>
  <c r="AN372"/>
  <c r="AK372"/>
  <c r="AN371"/>
  <c r="AE371"/>
  <c r="X371"/>
  <c r="AN370"/>
  <c r="AK370"/>
  <c r="AN369"/>
  <c r="AN368"/>
  <c r="AN367"/>
  <c r="AE367"/>
  <c r="X367"/>
  <c r="AN366"/>
  <c r="AK366"/>
  <c r="AN365"/>
  <c r="AE365"/>
  <c r="X365"/>
  <c r="AN364"/>
  <c r="AK364"/>
  <c r="AN363"/>
  <c r="AN362"/>
  <c r="AN361"/>
  <c r="AE361"/>
  <c r="X361"/>
  <c r="AN360"/>
  <c r="AK360"/>
  <c r="AN359"/>
  <c r="AE359"/>
  <c r="X359"/>
  <c r="AN358"/>
  <c r="AK358"/>
  <c r="AN357"/>
  <c r="AN356"/>
  <c r="AN355"/>
  <c r="AN354"/>
  <c r="AN353"/>
  <c r="AK353"/>
  <c r="AN352"/>
  <c r="AN351"/>
  <c r="AN350"/>
  <c r="AN349"/>
  <c r="AN348"/>
  <c r="AN347"/>
  <c r="AE347"/>
  <c r="X347"/>
  <c r="AN346"/>
  <c r="AK346"/>
  <c r="AN345"/>
  <c r="AE345"/>
  <c r="X345"/>
  <c r="AN344"/>
  <c r="AK344"/>
  <c r="AN343"/>
  <c r="AN342"/>
  <c r="AN341"/>
  <c r="AE341"/>
  <c r="X341"/>
  <c r="AN340"/>
  <c r="AK340"/>
  <c r="AN339"/>
  <c r="AE339"/>
  <c r="X339"/>
  <c r="AN338"/>
  <c r="AK338"/>
  <c r="AN337"/>
  <c r="AN336"/>
  <c r="AN335"/>
  <c r="AE335"/>
  <c r="X335"/>
  <c r="AN334"/>
  <c r="AK334"/>
  <c r="AN333"/>
  <c r="AE333"/>
  <c r="X333"/>
  <c r="AN332"/>
  <c r="AK332"/>
  <c r="AN331"/>
  <c r="AN330"/>
  <c r="AN329"/>
  <c r="AN328"/>
  <c r="AN327"/>
  <c r="AK327"/>
  <c r="AN326"/>
  <c r="AN325"/>
  <c r="AN324"/>
  <c r="AN323"/>
  <c r="AN322"/>
  <c r="AN321"/>
  <c r="AE321"/>
  <c r="X321"/>
  <c r="AN320"/>
  <c r="AK320"/>
  <c r="AN319"/>
  <c r="AE319"/>
  <c r="X319"/>
  <c r="AN318"/>
  <c r="AK318"/>
  <c r="AN317"/>
  <c r="AN316"/>
  <c r="AN315"/>
  <c r="AE315"/>
  <c r="X315"/>
  <c r="AN314"/>
  <c r="AK314"/>
  <c r="AN313"/>
  <c r="AE313"/>
  <c r="X313"/>
  <c r="AN312"/>
  <c r="AK312"/>
  <c r="AN311"/>
  <c r="AN310"/>
  <c r="AN309"/>
  <c r="AE309"/>
  <c r="X309"/>
  <c r="AN308"/>
  <c r="AK308"/>
  <c r="AN307"/>
  <c r="AE307"/>
  <c r="X307"/>
  <c r="AN306"/>
  <c r="AK306"/>
  <c r="AN305"/>
  <c r="AN304"/>
  <c r="AN303"/>
  <c r="AN302"/>
  <c r="AN301"/>
  <c r="AK301"/>
  <c r="AN300"/>
  <c r="AN299"/>
  <c r="AN298"/>
  <c r="AN297"/>
  <c r="AN296"/>
  <c r="AN295"/>
  <c r="AE295"/>
  <c r="X295"/>
  <c r="AN294"/>
  <c r="AK294"/>
  <c r="AN293"/>
  <c r="AE293"/>
  <c r="X293"/>
  <c r="AN292"/>
  <c r="AK292"/>
  <c r="AN291"/>
  <c r="AN290"/>
  <c r="AN289"/>
  <c r="AE289"/>
  <c r="X289"/>
  <c r="AN288"/>
  <c r="AK288"/>
  <c r="AN287"/>
  <c r="AE287"/>
  <c r="X287"/>
  <c r="AN286"/>
  <c r="AK286"/>
  <c r="AN285"/>
  <c r="AN284"/>
  <c r="AN283"/>
  <c r="AE283"/>
  <c r="X283"/>
  <c r="AN282"/>
  <c r="AK282"/>
  <c r="AN281"/>
  <c r="AE281"/>
  <c r="X281"/>
  <c r="AN280"/>
  <c r="AK280"/>
  <c r="AN279"/>
  <c r="AN278"/>
  <c r="AN277"/>
  <c r="AN276"/>
  <c r="AN275"/>
  <c r="AK275"/>
  <c r="AN274"/>
  <c r="AN273"/>
  <c r="AN272"/>
  <c r="AN271"/>
  <c r="AN270"/>
  <c r="AN269"/>
  <c r="AE269"/>
  <c r="X269"/>
  <c r="AN268"/>
  <c r="AK268"/>
  <c r="AN267"/>
  <c r="AE267"/>
  <c r="X267"/>
  <c r="AN266"/>
  <c r="AK266"/>
  <c r="AN265"/>
  <c r="AN264"/>
  <c r="AN263"/>
  <c r="AE263"/>
  <c r="X263"/>
  <c r="AN262"/>
  <c r="AK262"/>
  <c r="AN261"/>
  <c r="AE261"/>
  <c r="X261"/>
  <c r="AN260"/>
  <c r="AK260"/>
  <c r="AN259"/>
  <c r="AN258"/>
  <c r="AN257"/>
  <c r="AE257"/>
  <c r="X257"/>
  <c r="AN256"/>
  <c r="AK256"/>
  <c r="AN255"/>
  <c r="AE255"/>
  <c r="X255"/>
  <c r="AN254"/>
  <c r="AK254"/>
  <c r="AN253"/>
  <c r="AN252"/>
  <c r="AN251"/>
  <c r="AN250"/>
  <c r="AN249"/>
  <c r="AK249"/>
  <c r="AN248"/>
  <c r="AN247"/>
  <c r="AN246"/>
  <c r="AN245"/>
  <c r="AN244"/>
  <c r="AN243"/>
  <c r="AE243"/>
  <c r="X243"/>
  <c r="AN242"/>
  <c r="AK242"/>
  <c r="AN241"/>
  <c r="AE241"/>
  <c r="X241"/>
  <c r="AN240"/>
  <c r="AK240"/>
  <c r="AN239"/>
  <c r="AN238"/>
  <c r="AN237"/>
  <c r="AE237"/>
  <c r="X237"/>
  <c r="AN236"/>
  <c r="AK236"/>
  <c r="AN235"/>
  <c r="AE235"/>
  <c r="X235"/>
  <c r="AN234"/>
  <c r="AK234"/>
  <c r="AN233"/>
  <c r="AN232"/>
  <c r="AN231"/>
  <c r="AE231"/>
  <c r="X231"/>
  <c r="AN230"/>
  <c r="AK230"/>
  <c r="AN229"/>
  <c r="AE229"/>
  <c r="X229"/>
  <c r="AN228"/>
  <c r="AK228"/>
  <c r="AN227"/>
  <c r="AN226"/>
  <c r="AN225"/>
  <c r="AN224"/>
  <c r="AN223"/>
  <c r="AK223"/>
  <c r="AN222"/>
  <c r="AN221"/>
  <c r="AN220"/>
  <c r="AN219"/>
  <c r="AN218"/>
  <c r="AN217"/>
  <c r="AE217"/>
  <c r="X217"/>
  <c r="AN216"/>
  <c r="AK216"/>
  <c r="AN215"/>
  <c r="AE215"/>
  <c r="X215"/>
  <c r="AN214"/>
  <c r="AK214"/>
  <c r="AN213"/>
  <c r="AN212"/>
  <c r="AN211"/>
  <c r="AE211"/>
  <c r="X211"/>
  <c r="AN210"/>
  <c r="AK210"/>
  <c r="AN209"/>
  <c r="AE209"/>
  <c r="X209"/>
  <c r="AN208"/>
  <c r="AK208"/>
  <c r="AN207"/>
  <c r="AN206"/>
  <c r="AN205"/>
  <c r="AE205"/>
  <c r="X205"/>
  <c r="AN204"/>
  <c r="AK204"/>
  <c r="AN203"/>
  <c r="AE203"/>
  <c r="X203"/>
  <c r="AN202"/>
  <c r="AK202"/>
  <c r="AN201"/>
  <c r="AN200"/>
  <c r="AN199"/>
  <c r="AN198"/>
  <c r="AN197"/>
  <c r="AK197"/>
  <c r="AN196"/>
  <c r="AN195"/>
  <c r="AN194"/>
  <c r="AN193"/>
  <c r="AN192"/>
  <c r="AN191"/>
  <c r="AE191"/>
  <c r="X191"/>
  <c r="AN190"/>
  <c r="AK190"/>
  <c r="AN189"/>
  <c r="AE189"/>
  <c r="X189"/>
  <c r="AN188"/>
  <c r="AK188"/>
  <c r="AN187"/>
  <c r="AN186"/>
  <c r="AN185"/>
  <c r="AE185"/>
  <c r="X185"/>
  <c r="AN184"/>
  <c r="AK184"/>
  <c r="AN183"/>
  <c r="AE183"/>
  <c r="X183"/>
  <c r="AN182"/>
  <c r="AK182"/>
  <c r="AN181"/>
  <c r="AN180"/>
  <c r="AN179"/>
  <c r="AE179"/>
  <c r="X179"/>
  <c r="AN178"/>
  <c r="AK178"/>
  <c r="AN177"/>
  <c r="AE177"/>
  <c r="X177"/>
  <c r="AN176"/>
  <c r="AK176"/>
  <c r="AN175"/>
  <c r="AN174"/>
  <c r="AN173"/>
  <c r="AN172"/>
  <c r="AN171"/>
  <c r="AK171"/>
  <c r="AN170"/>
  <c r="AN169"/>
  <c r="AN168"/>
  <c r="AN167"/>
  <c r="AN166"/>
  <c r="AN165"/>
  <c r="AE165"/>
  <c r="X165"/>
  <c r="AN164"/>
  <c r="AK164"/>
  <c r="AN163"/>
  <c r="AE163"/>
  <c r="X163"/>
  <c r="AN162"/>
  <c r="AK162"/>
  <c r="AN161"/>
  <c r="AN160"/>
  <c r="AN159"/>
  <c r="AE159"/>
  <c r="X159"/>
  <c r="AN158"/>
  <c r="AK158"/>
  <c r="AN157"/>
  <c r="AE157"/>
  <c r="X157"/>
  <c r="AN156"/>
  <c r="AK156"/>
  <c r="AN155"/>
  <c r="AN154"/>
  <c r="AN153"/>
  <c r="AE153"/>
  <c r="X153"/>
  <c r="AN152"/>
  <c r="AK152"/>
  <c r="AN151"/>
  <c r="AE151"/>
  <c r="X151"/>
  <c r="AN150"/>
  <c r="AK150"/>
  <c r="AN149"/>
  <c r="AN148"/>
  <c r="AN147"/>
  <c r="AN146"/>
  <c r="AN145"/>
  <c r="AK145"/>
  <c r="AN144"/>
  <c r="AN143"/>
  <c r="AN142"/>
  <c r="AN141"/>
  <c r="AN140"/>
  <c r="AN139"/>
  <c r="AE139"/>
  <c r="X139"/>
  <c r="AN138"/>
  <c r="AK138"/>
  <c r="AN137"/>
  <c r="AE137"/>
  <c r="X137"/>
  <c r="AN136"/>
  <c r="AK136"/>
  <c r="AN135"/>
  <c r="AN134"/>
  <c r="AN133"/>
  <c r="AE133"/>
  <c r="X133"/>
  <c r="AN132"/>
  <c r="AK132"/>
  <c r="AN131"/>
  <c r="AE131"/>
  <c r="X131"/>
  <c r="AN130"/>
  <c r="AK130"/>
  <c r="AN129"/>
  <c r="AN128"/>
  <c r="AN127"/>
  <c r="AE127"/>
  <c r="X127"/>
  <c r="AN126"/>
  <c r="AK126"/>
  <c r="AN125"/>
  <c r="AE125"/>
  <c r="X125"/>
  <c r="AN124"/>
  <c r="AK124"/>
  <c r="AN123"/>
  <c r="AN122"/>
  <c r="AN121"/>
  <c r="AN120"/>
  <c r="AN119"/>
  <c r="AK119"/>
  <c r="AN118"/>
  <c r="AN117"/>
  <c r="AN116"/>
  <c r="AN115"/>
  <c r="AN114"/>
  <c r="AN113"/>
  <c r="AE113"/>
  <c r="X113"/>
  <c r="AN112"/>
  <c r="AK112"/>
  <c r="AN111"/>
  <c r="AE111"/>
  <c r="X111"/>
  <c r="AN110"/>
  <c r="AK110"/>
  <c r="AN109"/>
  <c r="AN108"/>
  <c r="AN107"/>
  <c r="AE107"/>
  <c r="X107"/>
  <c r="AN106"/>
  <c r="AK106"/>
  <c r="AN105"/>
  <c r="AE105"/>
  <c r="X105"/>
  <c r="AN104"/>
  <c r="AK104"/>
  <c r="AN103"/>
  <c r="AN102"/>
  <c r="AN101"/>
  <c r="AE101"/>
  <c r="X101"/>
  <c r="AN100"/>
  <c r="AK100"/>
  <c r="AN99"/>
  <c r="AE99"/>
  <c r="X99"/>
  <c r="AN98"/>
  <c r="AK98"/>
  <c r="AN97"/>
  <c r="AN96"/>
  <c r="AN95"/>
  <c r="AN94"/>
  <c r="AN93"/>
  <c r="AK93"/>
  <c r="AN92"/>
  <c r="AN91"/>
  <c r="AN90"/>
  <c r="AN89"/>
  <c r="AN88"/>
  <c r="AN87"/>
  <c r="AE87"/>
  <c r="X87"/>
  <c r="AN86"/>
  <c r="AK86"/>
  <c r="AN85"/>
  <c r="AE85"/>
  <c r="X85"/>
  <c r="AN84"/>
  <c r="AK84"/>
  <c r="AN83"/>
  <c r="AN82"/>
  <c r="AN81"/>
  <c r="AE81"/>
  <c r="X81"/>
  <c r="AN80"/>
  <c r="AK80"/>
  <c r="AN79"/>
  <c r="AE79"/>
  <c r="X79"/>
  <c r="AN78"/>
  <c r="AK78"/>
  <c r="AN77"/>
  <c r="AN76"/>
  <c r="AN75"/>
  <c r="AE75"/>
  <c r="X75"/>
  <c r="AN74"/>
  <c r="AK74"/>
  <c r="AN73"/>
  <c r="AE73"/>
  <c r="X73"/>
  <c r="AN72"/>
  <c r="AK72"/>
  <c r="AN71"/>
  <c r="AN70"/>
  <c r="AN69"/>
  <c r="AN68"/>
  <c r="AN67"/>
  <c r="AK67"/>
  <c r="AN66"/>
  <c r="AN65"/>
  <c r="AN64"/>
  <c r="AN63"/>
  <c r="AN62"/>
  <c r="AN61"/>
  <c r="AE61"/>
  <c r="X61"/>
  <c r="AN60"/>
  <c r="AK60"/>
  <c r="AN59"/>
  <c r="AE59"/>
  <c r="X59"/>
  <c r="AN58"/>
  <c r="AK58"/>
  <c r="AN57"/>
  <c r="AN56"/>
  <c r="AN55"/>
  <c r="AE55"/>
  <c r="X55"/>
  <c r="AN54"/>
  <c r="AK54"/>
  <c r="AN53"/>
  <c r="AE53"/>
  <c r="X53"/>
  <c r="AN52"/>
  <c r="AK52"/>
  <c r="AN51"/>
  <c r="AN50"/>
  <c r="AN49"/>
  <c r="AE49"/>
  <c r="X49"/>
  <c r="AN48"/>
  <c r="AK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3"/>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0"/>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19"/>
  <c r="AN52"/>
  <c r="AN51"/>
  <c r="AN50"/>
  <c r="AN49"/>
  <c r="AN48"/>
  <c r="AN47"/>
  <c r="AE47"/>
  <c r="X47"/>
  <c r="AN46"/>
  <c r="AK46"/>
  <c r="AN45"/>
  <c r="AN44"/>
  <c r="AN43"/>
  <c r="AN42"/>
  <c r="AN41"/>
  <c r="AK41"/>
  <c r="W40"/>
  <c r="X40" s="1"/>
  <c r="Y40" s="1"/>
  <c r="Z40" s="1"/>
  <c r="AB40" s="1"/>
  <c r="AC40" s="1"/>
  <c r="AD40" s="1"/>
  <c r="AE40" s="1"/>
  <c r="AF40" s="1"/>
  <c r="AG40" s="1"/>
  <c r="AI40" s="1"/>
  <c r="AJ40" s="1"/>
  <c r="AK40" s="1"/>
  <c r="V40"/>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18"/>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AB36"/>
  <c r="V36"/>
  <c r="AB35"/>
  <c r="V35"/>
  <c r="AB33"/>
  <c r="V33"/>
  <c r="AB32"/>
  <c r="V32"/>
  <c r="AB31"/>
  <c r="V31"/>
  <c r="AB30"/>
  <c r="V30"/>
  <c r="S28"/>
  <c r="S27"/>
  <c r="AX17"/>
  <c r="AX16"/>
  <c r="AX15"/>
  <c r="AX14"/>
  <c r="AX13"/>
  <c r="AX12"/>
  <c r="AX11"/>
  <c r="AO11"/>
  <c r="W11"/>
  <c r="AX8"/>
  <c r="AX7"/>
  <c r="AX6"/>
  <c r="AX5"/>
  <c r="AB5"/>
  <c r="S5"/>
  <c r="J7" s="1"/>
  <c r="AX4"/>
  <c r="AB4"/>
  <c r="S4"/>
  <c r="AX3"/>
  <c r="AB3"/>
  <c r="S3"/>
  <c r="AX2"/>
  <c r="AB2"/>
  <c r="S2"/>
  <c r="AT65" i="17"/>
  <c r="AT64"/>
  <c r="AT63"/>
  <c r="AT62"/>
  <c r="AT61"/>
  <c r="AT60"/>
  <c r="AT59"/>
  <c r="AT58"/>
  <c r="AT57"/>
  <c r="AK57"/>
  <c r="AB57"/>
  <c r="AT56"/>
  <c r="AT55"/>
  <c r="AT54"/>
  <c r="AT53"/>
  <c r="AT52"/>
  <c r="AT51"/>
  <c r="AT50"/>
  <c r="AT49"/>
  <c r="AQ49"/>
  <c r="AK48"/>
  <c r="AL48" s="1"/>
  <c r="AM48" s="1"/>
  <c r="AO48" s="1"/>
  <c r="AP48" s="1"/>
  <c r="AQ48" s="1"/>
  <c r="AJ48"/>
  <c r="AA48"/>
  <c r="AB48" s="1"/>
  <c r="AC48" s="1"/>
  <c r="AD48" s="1"/>
  <c r="AF48" s="1"/>
  <c r="AG48" s="1"/>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6"/>
  <c r="AP56"/>
  <c r="AP55"/>
  <c r="AP54"/>
  <c r="AP53"/>
  <c r="AP52"/>
  <c r="AP51"/>
  <c r="AP50"/>
  <c r="AG50"/>
  <c r="Y50"/>
  <c r="AP49"/>
  <c r="AP48"/>
  <c r="AP47"/>
  <c r="AP46"/>
  <c r="AP45"/>
  <c r="AP44"/>
  <c r="AP43"/>
  <c r="AM43"/>
  <c r="AL42"/>
  <c r="AM42" s="1"/>
  <c r="AG42"/>
  <c r="AH42" s="1"/>
  <c r="AI42" s="1"/>
  <c r="AK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D45"/>
  <c r="AP44"/>
  <c r="AP43"/>
  <c r="AM43"/>
  <c r="S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D45"/>
  <c r="AP44"/>
  <c r="AP43"/>
  <c r="AM43"/>
  <c r="S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2"/>
  <c r="AP56"/>
  <c r="AP55"/>
  <c r="AP54"/>
  <c r="AP53"/>
  <c r="AP52"/>
  <c r="AP51"/>
  <c r="AP50"/>
  <c r="AG50"/>
  <c r="Y50"/>
  <c r="AP49"/>
  <c r="AP48"/>
  <c r="AP47"/>
  <c r="AP46"/>
  <c r="AP45"/>
  <c r="S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1"/>
  <c r="AP56"/>
  <c r="AP55"/>
  <c r="AP54"/>
  <c r="AP53"/>
  <c r="AP52"/>
  <c r="AP51"/>
  <c r="AP50"/>
  <c r="AG50"/>
  <c r="Y50"/>
  <c r="AP49"/>
  <c r="AP48"/>
  <c r="AP47"/>
  <c r="AP46"/>
  <c r="AP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E11" i="9"/>
  <c r="D7"/>
  <c r="F13" i="8"/>
  <c r="E13"/>
  <c r="F8"/>
  <c r="E8"/>
  <c r="D5"/>
  <c r="D4"/>
  <c r="D53" i="7"/>
  <c r="D52"/>
  <c r="G50"/>
  <c r="E45"/>
  <c r="G44"/>
  <c r="E43"/>
  <c r="G42"/>
  <c r="E42"/>
  <c r="G38"/>
  <c r="E38"/>
  <c r="E37"/>
  <c r="E36"/>
  <c r="G35"/>
  <c r="E35"/>
  <c r="G34"/>
  <c r="E34"/>
  <c r="G33"/>
  <c r="E33"/>
  <c r="E32"/>
  <c r="A32"/>
  <c r="D32" s="1"/>
  <c r="D34" s="1"/>
  <c r="G28"/>
  <c r="G27"/>
  <c r="G26"/>
  <c r="E18"/>
  <c r="G17"/>
  <c r="E17"/>
  <c r="G16"/>
  <c r="E16"/>
  <c r="F15"/>
  <c r="F14"/>
  <c r="G13"/>
  <c r="E13"/>
  <c r="E12"/>
  <c r="F11"/>
  <c r="D5"/>
  <c r="D5" i="6"/>
  <c r="AQ184" i="5"/>
  <c r="AP184"/>
  <c r="S48" i="26" s="1"/>
  <c r="K52" s="1"/>
  <c r="S52" s="1"/>
  <c r="AO184" i="5"/>
  <c r="S47" i="26" s="1"/>
  <c r="AN184" i="5"/>
  <c r="S46" i="26" s="1"/>
  <c r="AM184" i="5"/>
  <c r="AL184"/>
  <c r="AD48" i="26" s="1"/>
  <c r="AK184" i="5"/>
  <c r="AD47" i="26" s="1"/>
  <c r="AJ184" i="5"/>
  <c r="AI184"/>
  <c r="AH184"/>
  <c r="AQ179"/>
  <c r="AP179"/>
  <c r="S43" i="25" s="1"/>
  <c r="I44" s="1"/>
  <c r="AO179" i="5"/>
  <c r="S42" i="25" s="1"/>
  <c r="AN179" i="5"/>
  <c r="S41" i="25" s="1"/>
  <c r="AM179" i="5"/>
  <c r="AL179"/>
  <c r="AC43" i="25" s="1"/>
  <c r="AK179" i="5"/>
  <c r="AC42" i="25" s="1"/>
  <c r="AJ179" i="5"/>
  <c r="AI179"/>
  <c r="AH179"/>
  <c r="AP174"/>
  <c r="S485" i="24" s="1"/>
  <c r="I486" s="1"/>
  <c r="AO174" i="5"/>
  <c r="S484" i="24" s="1"/>
  <c r="AN174" i="5"/>
  <c r="S483" i="24" s="1"/>
  <c r="AL174" i="5"/>
  <c r="AC485" i="24" s="1"/>
  <c r="AJ174" i="5"/>
  <c r="AH174"/>
  <c r="AP170"/>
  <c r="S459" i="24" s="1"/>
  <c r="I460" s="1"/>
  <c r="AO170" i="5"/>
  <c r="S458" i="24" s="1"/>
  <c r="AN170" i="5"/>
  <c r="S457" i="24" s="1"/>
  <c r="AL170" i="5"/>
  <c r="AC459" i="24" s="1"/>
  <c r="AJ170" i="5"/>
  <c r="AH170"/>
  <c r="AP166"/>
  <c r="S433" i="24" s="1"/>
  <c r="I434" s="1"/>
  <c r="AO166" i="5"/>
  <c r="S432" i="24" s="1"/>
  <c r="AN166" i="5"/>
  <c r="S431" i="24" s="1"/>
  <c r="AL166" i="5"/>
  <c r="AC433" i="24" s="1"/>
  <c r="AJ166" i="5"/>
  <c r="AH166"/>
  <c r="AP162"/>
  <c r="S407" i="24" s="1"/>
  <c r="I408" s="1"/>
  <c r="AO162" i="5"/>
  <c r="S406" i="24" s="1"/>
  <c r="AN162" i="5"/>
  <c r="S405" i="24" s="1"/>
  <c r="AL162" i="5"/>
  <c r="AC407" i="24" s="1"/>
  <c r="AJ162" i="5"/>
  <c r="AH162"/>
  <c r="AP158"/>
  <c r="S381" i="24" s="1"/>
  <c r="I382" s="1"/>
  <c r="AO158" i="5"/>
  <c r="S380" i="24" s="1"/>
  <c r="AN158" i="5"/>
  <c r="S379" i="24" s="1"/>
  <c r="AL158" i="5"/>
  <c r="AC381" i="24" s="1"/>
  <c r="AJ158" i="5"/>
  <c r="AH158"/>
  <c r="AP154"/>
  <c r="S355" i="24" s="1"/>
  <c r="I356" s="1"/>
  <c r="AO154" i="5"/>
  <c r="S354" i="24" s="1"/>
  <c r="AN154" i="5"/>
  <c r="S353" i="24" s="1"/>
  <c r="AL154" i="5"/>
  <c r="AC355" i="24" s="1"/>
  <c r="AJ154" i="5"/>
  <c r="AH154"/>
  <c r="AP150"/>
  <c r="S329" i="24" s="1"/>
  <c r="I330" s="1"/>
  <c r="AO150" i="5"/>
  <c r="S328" i="24" s="1"/>
  <c r="AN150" i="5"/>
  <c r="S327" i="24" s="1"/>
  <c r="AL150" i="5"/>
  <c r="AC329" i="24" s="1"/>
  <c r="AJ150" i="5"/>
  <c r="AH150"/>
  <c r="AP146"/>
  <c r="S303" i="24" s="1"/>
  <c r="I304" s="1"/>
  <c r="AO146" i="5"/>
  <c r="S302" i="24" s="1"/>
  <c r="AN146" i="5"/>
  <c r="S301" i="24" s="1"/>
  <c r="AL146" i="5"/>
  <c r="AC303" i="24" s="1"/>
  <c r="AJ146" i="5"/>
  <c r="AH146"/>
  <c r="AP142"/>
  <c r="S277" i="24" s="1"/>
  <c r="I278" s="1"/>
  <c r="AO142" i="5"/>
  <c r="S276" i="24" s="1"/>
  <c r="AN142" i="5"/>
  <c r="S275" i="24" s="1"/>
  <c r="AL142" i="5"/>
  <c r="AC277" i="24" s="1"/>
  <c r="AJ142" i="5"/>
  <c r="AH142"/>
  <c r="AP138"/>
  <c r="S251" i="24" s="1"/>
  <c r="I252" s="1"/>
  <c r="AO138" i="5"/>
  <c r="S250" i="24" s="1"/>
  <c r="AN138" i="5"/>
  <c r="S249" i="24" s="1"/>
  <c r="AL138" i="5"/>
  <c r="AC251" i="24" s="1"/>
  <c r="AJ138" i="5"/>
  <c r="AH138"/>
  <c r="AP134"/>
  <c r="S225" i="24" s="1"/>
  <c r="I226" s="1"/>
  <c r="AO134" i="5"/>
  <c r="S224" i="24" s="1"/>
  <c r="AN134" i="5"/>
  <c r="S223" i="24" s="1"/>
  <c r="AL134" i="5"/>
  <c r="AC225" i="24" s="1"/>
  <c r="AJ134" i="5"/>
  <c r="AH134"/>
  <c r="AP130"/>
  <c r="S199" i="24" s="1"/>
  <c r="I200" s="1"/>
  <c r="AO130" i="5"/>
  <c r="S198" i="24" s="1"/>
  <c r="AN130" i="5"/>
  <c r="S197" i="24" s="1"/>
  <c r="AL130" i="5"/>
  <c r="AC199" i="24" s="1"/>
  <c r="AJ130" i="5"/>
  <c r="AI130"/>
  <c r="AH130"/>
  <c r="AP126"/>
  <c r="S173" i="24" s="1"/>
  <c r="I174" s="1"/>
  <c r="AO126" i="5"/>
  <c r="S172" i="24" s="1"/>
  <c r="AN126" i="5"/>
  <c r="S171" i="24" s="1"/>
  <c r="AL126" i="5"/>
  <c r="AC173" i="24" s="1"/>
  <c r="AJ126" i="5"/>
  <c r="AH126"/>
  <c r="AP122"/>
  <c r="S147" i="24" s="1"/>
  <c r="I148" s="1"/>
  <c r="AO122" i="5"/>
  <c r="S146" i="24" s="1"/>
  <c r="AN122" i="5"/>
  <c r="S145" i="24" s="1"/>
  <c r="AL122" i="5"/>
  <c r="AC147" i="24" s="1"/>
  <c r="AJ122" i="5"/>
  <c r="AH122"/>
  <c r="AP118"/>
  <c r="S121" i="24" s="1"/>
  <c r="I122" s="1"/>
  <c r="AO118" i="5"/>
  <c r="S120" i="24" s="1"/>
  <c r="AN118" i="5"/>
  <c r="S119" i="24" s="1"/>
  <c r="AL118" i="5"/>
  <c r="AC121" i="24" s="1"/>
  <c r="AJ118" i="5"/>
  <c r="AH118"/>
  <c r="AP114"/>
  <c r="S95" i="24" s="1"/>
  <c r="I96" s="1"/>
  <c r="AO114" i="5"/>
  <c r="S94" i="24" s="1"/>
  <c r="AN114" i="5"/>
  <c r="S93" i="24" s="1"/>
  <c r="AL114" i="5"/>
  <c r="AC95" i="24" s="1"/>
  <c r="AJ114" i="5"/>
  <c r="AH114"/>
  <c r="AP110"/>
  <c r="S69" i="24" s="1"/>
  <c r="I70" s="1"/>
  <c r="AO110" i="5"/>
  <c r="S68" i="24" s="1"/>
  <c r="AN110" i="5"/>
  <c r="S67" i="24" s="1"/>
  <c r="AL110" i="5"/>
  <c r="AC69" i="24" s="1"/>
  <c r="AJ110" i="5"/>
  <c r="AH110"/>
  <c r="AQ106"/>
  <c r="AP106"/>
  <c r="S43" i="24" s="1"/>
  <c r="I44" s="1"/>
  <c r="AO106" i="5"/>
  <c r="S42" i="24" s="1"/>
  <c r="AN106" i="5"/>
  <c r="S41" i="24" s="1"/>
  <c r="AM106" i="5"/>
  <c r="AL106"/>
  <c r="AC43" i="24" s="1"/>
  <c r="AJ106" i="5"/>
  <c r="AI106"/>
  <c r="AH106"/>
  <c r="G106"/>
  <c r="AI166" s="1"/>
  <c r="AQ100"/>
  <c r="AP100"/>
  <c r="S48" i="29" s="1"/>
  <c r="K52" s="1"/>
  <c r="S52" s="1"/>
  <c r="AO100" i="5"/>
  <c r="S47" i="29" s="1"/>
  <c r="AN100" i="5"/>
  <c r="S46" i="29" s="1"/>
  <c r="AM100" i="5"/>
  <c r="AL100"/>
  <c r="AD48" i="29" s="1"/>
  <c r="AK100" i="5"/>
  <c r="AD47" i="29" s="1"/>
  <c r="AJ100" i="5"/>
  <c r="AI100"/>
  <c r="AH100"/>
  <c r="AQ95"/>
  <c r="AP95"/>
  <c r="AO95"/>
  <c r="AN95"/>
  <c r="AM95"/>
  <c r="AL95"/>
  <c r="AK95"/>
  <c r="AJ95"/>
  <c r="AI95"/>
  <c r="AH95"/>
  <c r="AQ90"/>
  <c r="AP90"/>
  <c r="AO90"/>
  <c r="AN90"/>
  <c r="AM90"/>
  <c r="AL90"/>
  <c r="AK90"/>
  <c r="AJ90"/>
  <c r="AI90"/>
  <c r="AH90"/>
  <c r="AQ84"/>
  <c r="AP84"/>
  <c r="S48" i="23" s="1"/>
  <c r="K52" s="1"/>
  <c r="S52" s="1"/>
  <c r="AO84" i="5"/>
  <c r="S47" i="23" s="1"/>
  <c r="AN84" i="5"/>
  <c r="S46" i="23" s="1"/>
  <c r="AM84" i="5"/>
  <c r="AL84"/>
  <c r="AD48" i="23" s="1"/>
  <c r="AK84" i="5"/>
  <c r="AD47" i="23" s="1"/>
  <c r="AJ84" i="5"/>
  <c r="AI84"/>
  <c r="AH84"/>
  <c r="AQ79"/>
  <c r="AP79"/>
  <c r="S43" i="22" s="1"/>
  <c r="I44" s="1"/>
  <c r="AO79" i="5"/>
  <c r="S42" i="22" s="1"/>
  <c r="AN79" i="5"/>
  <c r="S41" i="22" s="1"/>
  <c r="AM79" i="5"/>
  <c r="AL79"/>
  <c r="AC43" i="22" s="1"/>
  <c r="AK79" i="5"/>
  <c r="AC42" i="22" s="1"/>
  <c r="AJ79" i="5"/>
  <c r="AI79"/>
  <c r="AH79"/>
  <c r="AQ74"/>
  <c r="AP74"/>
  <c r="S43" i="21" s="1"/>
  <c r="I44" s="1"/>
  <c r="AO74" i="5"/>
  <c r="S42" i="21" s="1"/>
  <c r="AN74" i="5"/>
  <c r="S41" i="21" s="1"/>
  <c r="AM74" i="5"/>
  <c r="AL74"/>
  <c r="AC43" i="21" s="1"/>
  <c r="AK74" i="5"/>
  <c r="AC42" i="21" s="1"/>
  <c r="AJ74" i="5"/>
  <c r="AI74"/>
  <c r="AH74"/>
  <c r="AQ69"/>
  <c r="AP69"/>
  <c r="S43" i="20" s="1"/>
  <c r="I44" s="1"/>
  <c r="AO69" i="5"/>
  <c r="S42" i="20" s="1"/>
  <c r="AN69" i="5"/>
  <c r="S41" i="20" s="1"/>
  <c r="AM69" i="5"/>
  <c r="AL69"/>
  <c r="AC43" i="20" s="1"/>
  <c r="AK69" i="5"/>
  <c r="AC42" i="20" s="1"/>
  <c r="AJ69" i="5"/>
  <c r="AI69"/>
  <c r="AH69"/>
  <c r="AQ64"/>
  <c r="AP64"/>
  <c r="S43" i="19" s="1"/>
  <c r="I44" s="1"/>
  <c r="AO64" i="5"/>
  <c r="S42" i="19" s="1"/>
  <c r="AN64" i="5"/>
  <c r="S41" i="19" s="1"/>
  <c r="AM64" i="5"/>
  <c r="AL64"/>
  <c r="AC43" i="19" s="1"/>
  <c r="AK64" i="5"/>
  <c r="AC42" i="19" s="1"/>
  <c r="AJ64" i="5"/>
  <c r="AI64"/>
  <c r="AH64"/>
  <c r="AQ48"/>
  <c r="S48" i="18" s="1"/>
  <c r="AP48" i="5"/>
  <c r="S47" i="18" s="1"/>
  <c r="AO48" i="5"/>
  <c r="S46" i="18" s="1"/>
  <c r="AN48" i="5"/>
  <c r="S45" i="18" s="1"/>
  <c r="AM48" i="5"/>
  <c r="AB48" i="18" s="1"/>
  <c r="AL48" i="5"/>
  <c r="AB47" i="18" s="1"/>
  <c r="AK48" i="5"/>
  <c r="AB46" i="18" s="1"/>
  <c r="AJ48" i="5"/>
  <c r="AI48"/>
  <c r="AH48"/>
  <c r="AQ43"/>
  <c r="S46" i="13" s="1"/>
  <c r="I47" s="1"/>
  <c r="AP43" i="5"/>
  <c r="S45" i="13" s="1"/>
  <c r="AO43" i="5"/>
  <c r="S44" i="13" s="1"/>
  <c r="AN43" i="5"/>
  <c r="S43" i="13" s="1"/>
  <c r="AM43" i="5"/>
  <c r="AD46" i="13" s="1"/>
  <c r="AL43" i="5"/>
  <c r="AD45" i="13" s="1"/>
  <c r="AK43" i="5"/>
  <c r="AD44" i="13" s="1"/>
  <c r="AJ43" i="5"/>
  <c r="AI43"/>
  <c r="AH43"/>
  <c r="AQ38"/>
  <c r="S46" i="16" s="1"/>
  <c r="AP38" i="5"/>
  <c r="S45" i="16" s="1"/>
  <c r="AO38" i="5"/>
  <c r="S44" i="16" s="1"/>
  <c r="AN38" i="5"/>
  <c r="S43" i="16" s="1"/>
  <c r="AM38" i="5"/>
  <c r="AD46" i="16" s="1"/>
  <c r="AL38" i="5"/>
  <c r="AD45" i="16" s="1"/>
  <c r="AK38" i="5"/>
  <c r="AD44" i="16" s="1"/>
  <c r="AJ38" i="5"/>
  <c r="AI38"/>
  <c r="AH38"/>
  <c r="AQ33"/>
  <c r="S46" i="15" s="1"/>
  <c r="AP33" i="5"/>
  <c r="S45" i="15" s="1"/>
  <c r="AO33" i="5"/>
  <c r="S44" i="15" s="1"/>
  <c r="AN33" i="5"/>
  <c r="AM33"/>
  <c r="AD46" i="15" s="1"/>
  <c r="AL33" i="5"/>
  <c r="AK33"/>
  <c r="AD44" i="15" s="1"/>
  <c r="AJ33" i="5"/>
  <c r="AI33"/>
  <c r="AH33"/>
  <c r="AQ28"/>
  <c r="U52" i="17" s="1"/>
  <c r="I53" s="1"/>
  <c r="J54" s="1"/>
  <c r="AP28" i="5"/>
  <c r="U51" i="17" s="1"/>
  <c r="AO28" i="5"/>
  <c r="U50" i="17" s="1"/>
  <c r="AN28" i="5"/>
  <c r="U49" i="17" s="1"/>
  <c r="AM28" i="5"/>
  <c r="AG52" i="17" s="1"/>
  <c r="AL28" i="5"/>
  <c r="AG51" i="17" s="1"/>
  <c r="AK28" i="5"/>
  <c r="AG50" i="17" s="1"/>
  <c r="AJ28" i="5"/>
  <c r="AI28"/>
  <c r="AH28"/>
  <c r="AQ23"/>
  <c r="L22" i="58" s="1"/>
  <c r="F23" s="1"/>
  <c r="AP23" i="5"/>
  <c r="L21" i="58" s="1"/>
  <c r="AO23" i="5"/>
  <c r="L20" i="58" s="1"/>
  <c r="AN23" i="5"/>
  <c r="L19" i="58" s="1"/>
  <c r="AM23" i="5"/>
  <c r="O22" i="58" s="1"/>
  <c r="AL23" i="5"/>
  <c r="O21" i="58" s="1"/>
  <c r="AK23" i="5"/>
  <c r="O20" i="58" s="1"/>
  <c r="AJ23" i="5"/>
  <c r="AI23"/>
  <c r="AH23"/>
  <c r="AQ18"/>
  <c r="S46" i="12" s="1"/>
  <c r="I47" s="1"/>
  <c r="AP18" i="5"/>
  <c r="AO18"/>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47" i="3"/>
  <c r="M47" a="1"/>
  <c r="M47" s="1"/>
  <c r="E47"/>
  <c r="E46"/>
  <c r="G46" s="1"/>
  <c r="N174" i="5" s="1"/>
  <c r="AK174" s="1"/>
  <c r="AC484" i="24" s="1"/>
  <c r="O44" i="3"/>
  <c r="M44" a="1"/>
  <c r="M44" s="1"/>
  <c r="E44"/>
  <c r="E43"/>
  <c r="G43" s="1"/>
  <c r="N170" i="5" s="1"/>
  <c r="AK170" s="1"/>
  <c r="AC458" i="24" s="1"/>
  <c r="O41" i="3"/>
  <c r="M41" a="1"/>
  <c r="M41" s="1"/>
  <c r="E41"/>
  <c r="E40"/>
  <c r="G40" s="1"/>
  <c r="N166" i="5" s="1"/>
  <c r="AK166" s="1"/>
  <c r="AC432" i="24" s="1"/>
  <c r="O38" i="3"/>
  <c r="M38" a="1"/>
  <c r="M38" s="1"/>
  <c r="E38"/>
  <c r="E37"/>
  <c r="G37" s="1"/>
  <c r="O35"/>
  <c r="M35" a="1"/>
  <c r="M35" s="1"/>
  <c r="E35"/>
  <c r="E34"/>
  <c r="G34" s="1"/>
  <c r="N146" i="5" s="1"/>
  <c r="AK146" s="1"/>
  <c r="AC302" i="24" s="1"/>
  <c r="O32" i="3"/>
  <c r="M32" a="1"/>
  <c r="M32" s="1"/>
  <c r="E32"/>
  <c r="E31"/>
  <c r="G31" s="1"/>
  <c r="N142" i="5" s="1"/>
  <c r="AK142" s="1"/>
  <c r="AC276" i="24" s="1"/>
  <c r="O29" i="3"/>
  <c r="M29" a="1"/>
  <c r="M29" s="1"/>
  <c r="E29"/>
  <c r="O28"/>
  <c r="M28" a="1"/>
  <c r="M28" s="1"/>
  <c r="E28"/>
  <c r="E27"/>
  <c r="G27" s="1"/>
  <c r="O25"/>
  <c r="M25" a="1"/>
  <c r="M25" s="1"/>
  <c r="E25"/>
  <c r="E24"/>
  <c r="G24" s="1"/>
  <c r="N130" i="5" s="1"/>
  <c r="AK130" s="1"/>
  <c r="AC198" i="24" s="1"/>
  <c r="O22" i="3"/>
  <c r="M22" a="1"/>
  <c r="M22" s="1"/>
  <c r="E22"/>
  <c r="E21"/>
  <c r="G21" s="1"/>
  <c r="N126" i="5" s="1"/>
  <c r="AK126" s="1"/>
  <c r="AC172" i="24" s="1"/>
  <c r="O19" i="3"/>
  <c r="M19" a="1"/>
  <c r="M19" s="1"/>
  <c r="E19"/>
  <c r="O18"/>
  <c r="M18" a="1"/>
  <c r="M18" s="1"/>
  <c r="E18"/>
  <c r="O17"/>
  <c r="M17" a="1"/>
  <c r="M17" s="1"/>
  <c r="E17"/>
  <c r="E16"/>
  <c r="G16" s="1"/>
  <c r="O14"/>
  <c r="M14" a="1"/>
  <c r="M14" s="1"/>
  <c r="E14"/>
  <c r="O13"/>
  <c r="M13" a="1"/>
  <c r="M13" s="1"/>
  <c r="E13"/>
  <c r="G12"/>
  <c r="N110" i="5" s="1"/>
  <c r="AK110" s="1"/>
  <c r="AC68" i="24" s="1"/>
  <c r="E12" i="3"/>
  <c r="E4"/>
  <c r="E59" i="2"/>
  <c r="E49"/>
  <c r="E41"/>
  <c r="E27"/>
  <c r="E26"/>
  <c r="F25"/>
  <c r="E22"/>
  <c r="E21"/>
  <c r="F20"/>
  <c r="E19"/>
  <c r="E3"/>
  <c r="E2"/>
  <c r="L22" i="61"/>
  <c r="M10" i="50"/>
  <c r="L23" i="61"/>
  <c r="L19"/>
  <c r="P2" i="51"/>
  <c r="K2" i="49"/>
  <c r="Y23" i="61"/>
  <c r="L20"/>
  <c r="P11" i="51"/>
  <c r="K9" i="49"/>
  <c r="L21" i="61"/>
  <c r="Y25" i="60"/>
  <c r="Y25" i="59"/>
  <c r="Y25" i="58"/>
  <c r="M2" i="50"/>
  <c r="AL7" i="28"/>
  <c r="AL7" i="25"/>
  <c r="AL502" i="24"/>
  <c r="AL496"/>
  <c r="AL450"/>
  <c r="AL444"/>
  <c r="AL398"/>
  <c r="AL392"/>
  <c r="AL346"/>
  <c r="AL340"/>
  <c r="AL294"/>
  <c r="AL288"/>
  <c r="AL242"/>
  <c r="AL236"/>
  <c r="AL190"/>
  <c r="AL184"/>
  <c r="AL138"/>
  <c r="AL132"/>
  <c r="AL86"/>
  <c r="AL80"/>
  <c r="AL7"/>
  <c r="AL46" i="22"/>
  <c r="AL7" i="21"/>
  <c r="AV8" i="18"/>
  <c r="AL490" i="24"/>
  <c r="AL488"/>
  <c r="AL474"/>
  <c r="AL468"/>
  <c r="AL438"/>
  <c r="AL436"/>
  <c r="AL422"/>
  <c r="AL416"/>
  <c r="AL386"/>
  <c r="AL384"/>
  <c r="AL370"/>
  <c r="AL364"/>
  <c r="AL334"/>
  <c r="AL332"/>
  <c r="AL318"/>
  <c r="AL312"/>
  <c r="AL282"/>
  <c r="AL280"/>
  <c r="AL266"/>
  <c r="AL260"/>
  <c r="AL230"/>
  <c r="AL228"/>
  <c r="AL214"/>
  <c r="AL208"/>
  <c r="AL178"/>
  <c r="AL176"/>
  <c r="AL162"/>
  <c r="AL156"/>
  <c r="AL126"/>
  <c r="AL124"/>
  <c r="AL110"/>
  <c r="AL104"/>
  <c r="AL74"/>
  <c r="AL72"/>
  <c r="AL58"/>
  <c r="AL52"/>
  <c r="AL7" i="22"/>
  <c r="AL46" i="19"/>
  <c r="AR56" i="17"/>
  <c r="AR55"/>
  <c r="AL46" i="27"/>
  <c r="AL476" i="24"/>
  <c r="AL470"/>
  <c r="AL424"/>
  <c r="AL418"/>
  <c r="AL372"/>
  <c r="AL366"/>
  <c r="AL320"/>
  <c r="AL314"/>
  <c r="AL268"/>
  <c r="AL262"/>
  <c r="AL216"/>
  <c r="AL210"/>
  <c r="AL164"/>
  <c r="AL158"/>
  <c r="AL112"/>
  <c r="AL106"/>
  <c r="AL60"/>
  <c r="AL54"/>
  <c r="AL46" i="20"/>
  <c r="AL7" i="19"/>
  <c r="AV51" i="18"/>
  <c r="AR8" i="17"/>
  <c r="AL46" i="28"/>
  <c r="AL7" i="27"/>
  <c r="AL46" i="25"/>
  <c r="AL500" i="24"/>
  <c r="AL494"/>
  <c r="AL464"/>
  <c r="AL462"/>
  <c r="AL448"/>
  <c r="AL442"/>
  <c r="AL412"/>
  <c r="AL410"/>
  <c r="AL396"/>
  <c r="AL390"/>
  <c r="AL360"/>
  <c r="AL358"/>
  <c r="AL344"/>
  <c r="AL338"/>
  <c r="AL308"/>
  <c r="AL306"/>
  <c r="AL292"/>
  <c r="AL286"/>
  <c r="AL256"/>
  <c r="AL254"/>
  <c r="AL240"/>
  <c r="AL234"/>
  <c r="AL204"/>
  <c r="AL202"/>
  <c r="AL188"/>
  <c r="AL182"/>
  <c r="AL152"/>
  <c r="AL150"/>
  <c r="AL136"/>
  <c r="AL130"/>
  <c r="AL100"/>
  <c r="AL98"/>
  <c r="AL84"/>
  <c r="AL78"/>
  <c r="AL48"/>
  <c r="AL46"/>
  <c r="AL46" i="21"/>
  <c r="AL7" i="20"/>
  <c r="AN49" i="16"/>
  <c r="AN8" i="13"/>
  <c r="AN49" i="12"/>
  <c r="AN8" i="11"/>
  <c r="AN49" i="15"/>
  <c r="AN49" i="14"/>
  <c r="AN49" i="13"/>
  <c r="AN8" i="12"/>
  <c r="J13" i="3"/>
  <c r="AN8" i="16"/>
  <c r="AN8" i="15"/>
  <c r="AN8" i="14"/>
  <c r="AN49" i="11"/>
  <c r="AI162" i="5" l="1"/>
  <c r="J6" i="20"/>
  <c r="K7" s="1"/>
  <c r="S7" s="1"/>
  <c r="AI146" i="5"/>
  <c r="E70" i="30"/>
  <c r="K70" s="1"/>
  <c r="I31" s="1"/>
  <c r="I136" s="1"/>
  <c r="L6" i="55"/>
  <c r="H31" i="30"/>
  <c r="H136" s="1"/>
  <c r="AI114" i="5"/>
  <c r="J7" i="11"/>
  <c r="S6"/>
  <c r="I8" i="34"/>
  <c r="I10" i="45"/>
  <c r="I27" i="35"/>
  <c r="H10" i="40"/>
  <c r="I11" i="33"/>
  <c r="I11" i="32"/>
  <c r="I26" i="30"/>
  <c r="H15" i="31"/>
  <c r="J48" i="12"/>
  <c r="S47"/>
  <c r="I47" i="16"/>
  <c r="J48"/>
  <c r="K8" i="13"/>
  <c r="S8" s="1"/>
  <c r="S7"/>
  <c r="K8" i="15"/>
  <c r="S8" s="1"/>
  <c r="S7"/>
  <c r="N158" i="5"/>
  <c r="AK158" s="1"/>
  <c r="AC380" i="24" s="1"/>
  <c r="N162" i="5"/>
  <c r="AK162" s="1"/>
  <c r="AC406" i="24" s="1"/>
  <c r="N150" i="5"/>
  <c r="AK150" s="1"/>
  <c r="AC328" i="24" s="1"/>
  <c r="N154" i="5"/>
  <c r="AK154" s="1"/>
  <c r="AC354" i="24" s="1"/>
  <c r="N114" i="5"/>
  <c r="AK114" s="1"/>
  <c r="AC94" i="24" s="1"/>
  <c r="N122" i="5"/>
  <c r="AK122" s="1"/>
  <c r="AC146" i="24" s="1"/>
  <c r="N118" i="5"/>
  <c r="AK118" s="1"/>
  <c r="AC120" i="24" s="1"/>
  <c r="N138" i="5"/>
  <c r="AK138" s="1"/>
  <c r="AC250" i="24" s="1"/>
  <c r="N134" i="5"/>
  <c r="AK134" s="1"/>
  <c r="AC224" i="24" s="1"/>
  <c r="S47" i="11"/>
  <c r="J48"/>
  <c r="I47" i="15"/>
  <c r="J48"/>
  <c r="S47" i="13"/>
  <c r="J48"/>
  <c r="K8" i="14"/>
  <c r="S8" s="1"/>
  <c r="S7"/>
  <c r="K8" i="16"/>
  <c r="S8" s="1"/>
  <c r="S7"/>
  <c r="H9" i="40"/>
  <c r="I10" i="33"/>
  <c r="I10" i="32"/>
  <c r="I7" i="34"/>
  <c r="I9" i="45"/>
  <c r="I26" i="35"/>
  <c r="H14" i="31"/>
  <c r="I25" i="30"/>
  <c r="U54" i="17"/>
  <c r="K55"/>
  <c r="G352" i="43"/>
  <c r="G444"/>
  <c r="G74"/>
  <c r="G168"/>
  <c r="G260"/>
  <c r="AC67" i="24"/>
  <c r="J166"/>
  <c r="J160"/>
  <c r="J162"/>
  <c r="J156"/>
  <c r="J149"/>
  <c r="J161"/>
  <c r="J155"/>
  <c r="J163"/>
  <c r="J157"/>
  <c r="S148"/>
  <c r="G360" i="43"/>
  <c r="G452"/>
  <c r="G82"/>
  <c r="G176"/>
  <c r="G268"/>
  <c r="AC171" i="24"/>
  <c r="F482" i="43"/>
  <c r="F112"/>
  <c r="F206"/>
  <c r="F298"/>
  <c r="F390"/>
  <c r="S5" i="24"/>
  <c r="J6"/>
  <c r="G118" i="43"/>
  <c r="G2"/>
  <c r="G210"/>
  <c r="G302"/>
  <c r="G5"/>
  <c r="G394"/>
  <c r="G24"/>
  <c r="F305"/>
  <c r="F397"/>
  <c r="F27"/>
  <c r="F121"/>
  <c r="F213"/>
  <c r="O19" i="58"/>
  <c r="G400" i="43"/>
  <c r="G30"/>
  <c r="G124"/>
  <c r="G216"/>
  <c r="G308"/>
  <c r="F311"/>
  <c r="F403"/>
  <c r="F33"/>
  <c r="F127"/>
  <c r="F219"/>
  <c r="G406"/>
  <c r="G36"/>
  <c r="G130"/>
  <c r="G222"/>
  <c r="G314"/>
  <c r="F317"/>
  <c r="F409"/>
  <c r="F39"/>
  <c r="F133"/>
  <c r="F225"/>
  <c r="G412"/>
  <c r="G42"/>
  <c r="G136"/>
  <c r="G228"/>
  <c r="G320"/>
  <c r="F323"/>
  <c r="F415"/>
  <c r="F45"/>
  <c r="F139"/>
  <c r="F231"/>
  <c r="G418"/>
  <c r="G48"/>
  <c r="G142"/>
  <c r="G234"/>
  <c r="G326"/>
  <c r="AC41" i="19"/>
  <c r="F329" i="43"/>
  <c r="F421"/>
  <c r="F51"/>
  <c r="F145"/>
  <c r="F237"/>
  <c r="J45" i="20"/>
  <c r="S44"/>
  <c r="G424" i="43"/>
  <c r="G54"/>
  <c r="G148"/>
  <c r="G240"/>
  <c r="G332"/>
  <c r="AC41" i="21"/>
  <c r="F335" i="43"/>
  <c r="F427"/>
  <c r="F57"/>
  <c r="F151"/>
  <c r="F243"/>
  <c r="S44" i="22"/>
  <c r="J45"/>
  <c r="G430" i="43"/>
  <c r="G60"/>
  <c r="G154"/>
  <c r="G246"/>
  <c r="G338"/>
  <c r="AD46" i="23"/>
  <c r="F341" i="43"/>
  <c r="F433"/>
  <c r="F63"/>
  <c r="F157"/>
  <c r="F249"/>
  <c r="AC43" i="28"/>
  <c r="AC43" i="27"/>
  <c r="S43"/>
  <c r="I44" s="1"/>
  <c r="S43" i="28"/>
  <c r="I44" s="1"/>
  <c r="G436" i="43"/>
  <c r="G66"/>
  <c r="G160"/>
  <c r="G252"/>
  <c r="G344"/>
  <c r="F347"/>
  <c r="F439"/>
  <c r="F69"/>
  <c r="F163"/>
  <c r="F255"/>
  <c r="F166"/>
  <c r="F258"/>
  <c r="F350"/>
  <c r="F442"/>
  <c r="F72"/>
  <c r="J62" i="24"/>
  <c r="J56"/>
  <c r="J58"/>
  <c r="J52"/>
  <c r="J45"/>
  <c r="J57"/>
  <c r="J51"/>
  <c r="J59"/>
  <c r="J53"/>
  <c r="S44"/>
  <c r="J135"/>
  <c r="J129"/>
  <c r="J137"/>
  <c r="J131"/>
  <c r="S122"/>
  <c r="J140"/>
  <c r="J134"/>
  <c r="J136"/>
  <c r="J130"/>
  <c r="J123"/>
  <c r="G450" i="43"/>
  <c r="G80"/>
  <c r="G174"/>
  <c r="G266"/>
  <c r="G358"/>
  <c r="AC145" i="24"/>
  <c r="J239"/>
  <c r="J233"/>
  <c r="J241"/>
  <c r="J235"/>
  <c r="S226"/>
  <c r="J244"/>
  <c r="J238"/>
  <c r="J240"/>
  <c r="J234"/>
  <c r="J227"/>
  <c r="G458" i="43"/>
  <c r="G88"/>
  <c r="G182"/>
  <c r="G274"/>
  <c r="G366"/>
  <c r="AC249" i="24"/>
  <c r="J343"/>
  <c r="J337"/>
  <c r="J345"/>
  <c r="J339"/>
  <c r="S330"/>
  <c r="J348"/>
  <c r="J342"/>
  <c r="J344"/>
  <c r="J338"/>
  <c r="J331"/>
  <c r="G466" i="43"/>
  <c r="G96"/>
  <c r="G190"/>
  <c r="G282"/>
  <c r="G374"/>
  <c r="AC353" i="24"/>
  <c r="J447"/>
  <c r="J441"/>
  <c r="J449"/>
  <c r="J443"/>
  <c r="S434"/>
  <c r="J452"/>
  <c r="J446"/>
  <c r="J448"/>
  <c r="J442"/>
  <c r="J435"/>
  <c r="G474" i="43"/>
  <c r="G104"/>
  <c r="G198"/>
  <c r="G290"/>
  <c r="G382"/>
  <c r="AC457" i="24"/>
  <c r="D35" i="7"/>
  <c r="AI110" i="5"/>
  <c r="AI126"/>
  <c r="AI142"/>
  <c r="AI158"/>
  <c r="AI174"/>
  <c r="D36" i="7"/>
  <c r="D37" s="1"/>
  <c r="D38" s="1"/>
  <c r="J7" i="12"/>
  <c r="S6" i="13"/>
  <c r="S45" i="14"/>
  <c r="AD46"/>
  <c r="J374" i="24"/>
  <c r="J368"/>
  <c r="J370"/>
  <c r="J364"/>
  <c r="J357"/>
  <c r="J369"/>
  <c r="J363"/>
  <c r="J371"/>
  <c r="J365"/>
  <c r="S356"/>
  <c r="G376" i="43"/>
  <c r="G468"/>
  <c r="G98"/>
  <c r="G192"/>
  <c r="G284"/>
  <c r="AC379" i="24"/>
  <c r="G384" i="43"/>
  <c r="G476"/>
  <c r="G106"/>
  <c r="G200"/>
  <c r="G292"/>
  <c r="AC483" i="24"/>
  <c r="G203" i="43"/>
  <c r="G295"/>
  <c r="G387"/>
  <c r="G479"/>
  <c r="G109"/>
  <c r="AC41" i="25"/>
  <c r="S6" i="19"/>
  <c r="K7"/>
  <c r="S7" s="1"/>
  <c r="H11" i="40"/>
  <c r="I12" i="33"/>
  <c r="I12" i="32"/>
  <c r="I9" i="34"/>
  <c r="H16" i="31"/>
  <c r="I11" i="45"/>
  <c r="I28" i="35"/>
  <c r="I27" i="30"/>
  <c r="L23" i="58"/>
  <c r="G24"/>
  <c r="AC42" i="27"/>
  <c r="AC42" i="28"/>
  <c r="S42"/>
  <c r="S42" i="27"/>
  <c r="J114" i="24"/>
  <c r="J108"/>
  <c r="J110"/>
  <c r="J104"/>
  <c r="J97"/>
  <c r="J109"/>
  <c r="J103"/>
  <c r="J111"/>
  <c r="J105"/>
  <c r="S96"/>
  <c r="G172" i="43"/>
  <c r="G264"/>
  <c r="G356"/>
  <c r="G448"/>
  <c r="G78"/>
  <c r="AC119" i="24"/>
  <c r="J218"/>
  <c r="J212"/>
  <c r="J214"/>
  <c r="J208"/>
  <c r="J201"/>
  <c r="J213"/>
  <c r="J207"/>
  <c r="J215"/>
  <c r="J209"/>
  <c r="S200"/>
  <c r="G180" i="43"/>
  <c r="G272"/>
  <c r="G364"/>
  <c r="G456"/>
  <c r="G86"/>
  <c r="AC223" i="24"/>
  <c r="J322"/>
  <c r="J316"/>
  <c r="J318"/>
  <c r="J312"/>
  <c r="J305"/>
  <c r="J317"/>
  <c r="J311"/>
  <c r="J319"/>
  <c r="J313"/>
  <c r="S304"/>
  <c r="G188" i="43"/>
  <c r="G280"/>
  <c r="G372"/>
  <c r="G464"/>
  <c r="G94"/>
  <c r="AC327" i="24"/>
  <c r="J426"/>
  <c r="J420"/>
  <c r="J422"/>
  <c r="J416"/>
  <c r="J409"/>
  <c r="J421"/>
  <c r="J415"/>
  <c r="J423"/>
  <c r="J417"/>
  <c r="S408"/>
  <c r="G196" i="43"/>
  <c r="G288"/>
  <c r="G380"/>
  <c r="G472"/>
  <c r="G102"/>
  <c r="AC431" i="24"/>
  <c r="F295" i="43"/>
  <c r="F387"/>
  <c r="F479"/>
  <c r="F109"/>
  <c r="F203"/>
  <c r="J45" i="25"/>
  <c r="S44"/>
  <c r="G390" i="43"/>
  <c r="G482"/>
  <c r="G112"/>
  <c r="G206"/>
  <c r="G298"/>
  <c r="AD46" i="26"/>
  <c r="K8" i="17"/>
  <c r="U7"/>
  <c r="S44" i="14"/>
  <c r="N106" i="5"/>
  <c r="AK106" s="1"/>
  <c r="AC42" i="24" s="1"/>
  <c r="AI122" i="5"/>
  <c r="AI138"/>
  <c r="AI154"/>
  <c r="AI170"/>
  <c r="D33" i="7"/>
  <c r="S46" i="14"/>
  <c r="K51" i="18"/>
  <c r="S51" s="1"/>
  <c r="I49"/>
  <c r="J50"/>
  <c r="J270" i="24"/>
  <c r="J264"/>
  <c r="J266"/>
  <c r="J260"/>
  <c r="J253"/>
  <c r="J265"/>
  <c r="J259"/>
  <c r="J267"/>
  <c r="J261"/>
  <c r="S252"/>
  <c r="G368" i="43"/>
  <c r="G460"/>
  <c r="G90"/>
  <c r="G184"/>
  <c r="G276"/>
  <c r="AC275" i="24"/>
  <c r="J478"/>
  <c r="J472"/>
  <c r="J474"/>
  <c r="J468"/>
  <c r="J461"/>
  <c r="J473"/>
  <c r="J467"/>
  <c r="J475"/>
  <c r="J469"/>
  <c r="S460"/>
  <c r="F210" i="43"/>
  <c r="F302"/>
  <c r="F394"/>
  <c r="F24"/>
  <c r="F118"/>
  <c r="G213"/>
  <c r="G305"/>
  <c r="G397"/>
  <c r="G27"/>
  <c r="G121"/>
  <c r="F124"/>
  <c r="F216"/>
  <c r="F308"/>
  <c r="F400"/>
  <c r="F30"/>
  <c r="G219"/>
  <c r="G311"/>
  <c r="G403"/>
  <c r="G33"/>
  <c r="G127"/>
  <c r="AG49" i="17"/>
  <c r="F130" i="43"/>
  <c r="F222"/>
  <c r="F314"/>
  <c r="F406"/>
  <c r="F36"/>
  <c r="G225"/>
  <c r="G317"/>
  <c r="G409"/>
  <c r="G39"/>
  <c r="G133"/>
  <c r="AD43" i="16"/>
  <c r="F136" i="43"/>
  <c r="F228"/>
  <c r="F320"/>
  <c r="F412"/>
  <c r="F42"/>
  <c r="G231"/>
  <c r="G323"/>
  <c r="G415"/>
  <c r="G45"/>
  <c r="G139"/>
  <c r="AB45" i="18"/>
  <c r="F142" i="43"/>
  <c r="F234"/>
  <c r="F326"/>
  <c r="F418"/>
  <c r="F48"/>
  <c r="S44" i="19"/>
  <c r="J45"/>
  <c r="G237" i="43"/>
  <c r="G329"/>
  <c r="G421"/>
  <c r="G51"/>
  <c r="G145"/>
  <c r="AC41" i="20"/>
  <c r="F148" i="43"/>
  <c r="F240"/>
  <c r="F332"/>
  <c r="F424"/>
  <c r="F54"/>
  <c r="J45" i="21"/>
  <c r="S44"/>
  <c r="G243" i="43"/>
  <c r="G335"/>
  <c r="G427"/>
  <c r="G57"/>
  <c r="G151"/>
  <c r="AC41" i="22"/>
  <c r="F154" i="43"/>
  <c r="F246"/>
  <c r="F338"/>
  <c r="F430"/>
  <c r="F60"/>
  <c r="G249"/>
  <c r="G341"/>
  <c r="G433"/>
  <c r="G63"/>
  <c r="G157"/>
  <c r="AC41" i="27"/>
  <c r="AC41" i="28"/>
  <c r="S41"/>
  <c r="S41" i="27"/>
  <c r="F160" i="43"/>
  <c r="F252"/>
  <c r="F344"/>
  <c r="F436"/>
  <c r="F66"/>
  <c r="G255"/>
  <c r="G347"/>
  <c r="G439"/>
  <c r="G69"/>
  <c r="G163"/>
  <c r="AD46" i="29"/>
  <c r="G442" i="43"/>
  <c r="G72"/>
  <c r="G166"/>
  <c r="G258"/>
  <c r="G350"/>
  <c r="AC41" i="24"/>
  <c r="J83"/>
  <c r="J77"/>
  <c r="J85"/>
  <c r="J79"/>
  <c r="S70"/>
  <c r="J88"/>
  <c r="J82"/>
  <c r="J84"/>
  <c r="J78"/>
  <c r="J71"/>
  <c r="G262" i="43"/>
  <c r="G354"/>
  <c r="G446"/>
  <c r="G76"/>
  <c r="G170"/>
  <c r="AC93" i="24"/>
  <c r="J187"/>
  <c r="J181"/>
  <c r="J189"/>
  <c r="J183"/>
  <c r="S174"/>
  <c r="J192"/>
  <c r="J186"/>
  <c r="J188"/>
  <c r="J182"/>
  <c r="J175"/>
  <c r="G270" i="43"/>
  <c r="G362"/>
  <c r="G454"/>
  <c r="G84"/>
  <c r="G178"/>
  <c r="AC197" i="24"/>
  <c r="J291"/>
  <c r="J285"/>
  <c r="J293"/>
  <c r="J287"/>
  <c r="S278"/>
  <c r="J296"/>
  <c r="J290"/>
  <c r="J292"/>
  <c r="J286"/>
  <c r="J279"/>
  <c r="G278" i="43"/>
  <c r="G370"/>
  <c r="G462"/>
  <c r="G92"/>
  <c r="G186"/>
  <c r="AC301" i="24"/>
  <c r="J395"/>
  <c r="J389"/>
  <c r="J397"/>
  <c r="J391"/>
  <c r="S382"/>
  <c r="J400"/>
  <c r="J394"/>
  <c r="J396"/>
  <c r="J390"/>
  <c r="J383"/>
  <c r="G286" i="43"/>
  <c r="G378"/>
  <c r="G470"/>
  <c r="G100"/>
  <c r="G194"/>
  <c r="AC405" i="24"/>
  <c r="J499"/>
  <c r="J493"/>
  <c r="J501"/>
  <c r="J495"/>
  <c r="S486"/>
  <c r="J504"/>
  <c r="J498"/>
  <c r="J500"/>
  <c r="J494"/>
  <c r="J487"/>
  <c r="S5" i="21"/>
  <c r="J6"/>
  <c r="S5" i="22"/>
  <c r="J6"/>
  <c r="J6" i="27"/>
  <c r="S5"/>
  <c r="AI118" i="5"/>
  <c r="AI134"/>
  <c r="AI150"/>
  <c r="AD43" i="14"/>
  <c r="AD44"/>
  <c r="AD43" i="15"/>
  <c r="I58" i="38"/>
  <c r="H58" s="1"/>
  <c r="H38"/>
  <c r="I6" i="18"/>
  <c r="K8"/>
  <c r="S8" s="1"/>
  <c r="S5" i="19"/>
  <c r="S6" i="20"/>
  <c r="J6" i="25"/>
  <c r="J6" i="28"/>
  <c r="L23" i="59"/>
  <c r="G24"/>
  <c r="L23" i="60"/>
  <c r="G24"/>
  <c r="B34" i="30"/>
  <c r="F10" i="50"/>
  <c r="AA11" i="57"/>
  <c r="N11" s="1"/>
  <c r="I15" i="40" s="1"/>
  <c r="U15" i="57"/>
  <c r="M15" s="1"/>
  <c r="E19" i="40" s="1"/>
  <c r="E3" i="56"/>
  <c r="C3" s="1"/>
  <c r="D5" i="40" s="1"/>
  <c r="E5" i="56"/>
  <c r="C5" s="1"/>
  <c r="D5" i="41" s="1"/>
  <c r="E30" i="56"/>
  <c r="C30" s="1"/>
  <c r="D14" i="42" s="1"/>
  <c r="E32" i="56"/>
  <c r="C32" s="1"/>
  <c r="AA12" i="57"/>
  <c r="N12" s="1"/>
  <c r="I16" i="40" s="1"/>
  <c r="AA16" i="57"/>
  <c r="N16" s="1"/>
  <c r="I21" i="40" s="1"/>
  <c r="AA13" i="57"/>
  <c r="N13" s="1"/>
  <c r="I17" i="40" s="1"/>
  <c r="J49" i="55"/>
  <c r="J50"/>
  <c r="J51"/>
  <c r="J52"/>
  <c r="J45" s="1"/>
  <c r="E5" i="2" s="1"/>
  <c r="E4" i="56"/>
  <c r="C4" s="1"/>
  <c r="D4" i="7" s="1"/>
  <c r="E6" i="56"/>
  <c r="C6" s="1"/>
  <c r="E21" i="30" s="1"/>
  <c r="E29" i="56"/>
  <c r="C29" s="1"/>
  <c r="D5" i="44" s="1"/>
  <c r="U14" i="57"/>
  <c r="M14" s="1"/>
  <c r="E18" i="40" s="1"/>
  <c r="AA15" i="57"/>
  <c r="N15" s="1"/>
  <c r="I19" i="40" s="1"/>
  <c r="K7" i="21" l="1"/>
  <c r="S7" s="1"/>
  <c r="S6"/>
  <c r="K500" i="24"/>
  <c r="S500" s="1"/>
  <c r="K502"/>
  <c r="S502" s="1"/>
  <c r="S499"/>
  <c r="K503"/>
  <c r="K188"/>
  <c r="S188" s="1"/>
  <c r="K190"/>
  <c r="S190" s="1"/>
  <c r="S187"/>
  <c r="K191"/>
  <c r="K84"/>
  <c r="S84" s="1"/>
  <c r="K86"/>
  <c r="S86" s="1"/>
  <c r="S83"/>
  <c r="K87"/>
  <c r="K263"/>
  <c r="K260"/>
  <c r="S260" s="1"/>
  <c r="K262"/>
  <c r="S262" s="1"/>
  <c r="S259"/>
  <c r="K308"/>
  <c r="S308" s="1"/>
  <c r="K306"/>
  <c r="S306" s="1"/>
  <c r="K309"/>
  <c r="S305"/>
  <c r="K204"/>
  <c r="S204" s="1"/>
  <c r="K202"/>
  <c r="S202" s="1"/>
  <c r="K205"/>
  <c r="S201"/>
  <c r="K100"/>
  <c r="S100" s="1"/>
  <c r="K98"/>
  <c r="S98" s="1"/>
  <c r="K101"/>
  <c r="S97"/>
  <c r="K360"/>
  <c r="S360" s="1"/>
  <c r="K358"/>
  <c r="S358" s="1"/>
  <c r="K361"/>
  <c r="S357"/>
  <c r="S7" i="12"/>
  <c r="K8"/>
  <c r="S8" s="1"/>
  <c r="K61" i="24"/>
  <c r="K58"/>
  <c r="S58" s="1"/>
  <c r="K60"/>
  <c r="S60" s="1"/>
  <c r="S57"/>
  <c r="K46" i="22"/>
  <c r="S46" s="1"/>
  <c r="S45"/>
  <c r="K49" i="13"/>
  <c r="S49" s="1"/>
  <c r="S48"/>
  <c r="K49" i="11"/>
  <c r="S49" s="1"/>
  <c r="S48"/>
  <c r="S7"/>
  <c r="K8"/>
  <c r="S8" s="1"/>
  <c r="B5" i="1"/>
  <c r="D4" i="4"/>
  <c r="K396" i="24"/>
  <c r="S396" s="1"/>
  <c r="K398"/>
  <c r="S398" s="1"/>
  <c r="S395"/>
  <c r="K399"/>
  <c r="K471"/>
  <c r="K468"/>
  <c r="S468" s="1"/>
  <c r="K470"/>
  <c r="S470" s="1"/>
  <c r="S467"/>
  <c r="K412"/>
  <c r="S412" s="1"/>
  <c r="K410"/>
  <c r="S410" s="1"/>
  <c r="K413"/>
  <c r="S409"/>
  <c r="F5" i="36"/>
  <c r="F5" i="38"/>
  <c r="F5" i="39"/>
  <c r="F5" i="37"/>
  <c r="H25" i="60"/>
  <c r="L25" s="1"/>
  <c r="L24"/>
  <c r="K7" i="28"/>
  <c r="S7" s="1"/>
  <c r="S6"/>
  <c r="S6" i="22"/>
  <c r="K7"/>
  <c r="S7" s="1"/>
  <c r="S487" i="24"/>
  <c r="K490"/>
  <c r="S490" s="1"/>
  <c r="K488"/>
  <c r="S488" s="1"/>
  <c r="K491"/>
  <c r="K494"/>
  <c r="S494" s="1"/>
  <c r="K496"/>
  <c r="S496" s="1"/>
  <c r="S493"/>
  <c r="K497"/>
  <c r="S383"/>
  <c r="K386"/>
  <c r="S386" s="1"/>
  <c r="K384"/>
  <c r="S384" s="1"/>
  <c r="K387"/>
  <c r="K390"/>
  <c r="S390" s="1"/>
  <c r="K392"/>
  <c r="S392" s="1"/>
  <c r="S389"/>
  <c r="K393"/>
  <c r="S279"/>
  <c r="K282"/>
  <c r="S282" s="1"/>
  <c r="K280"/>
  <c r="S280" s="1"/>
  <c r="K283"/>
  <c r="K286"/>
  <c r="S286" s="1"/>
  <c r="K288"/>
  <c r="S288" s="1"/>
  <c r="S285"/>
  <c r="K289"/>
  <c r="S175"/>
  <c r="K178"/>
  <c r="S178" s="1"/>
  <c r="K176"/>
  <c r="S176" s="1"/>
  <c r="K179"/>
  <c r="K182"/>
  <c r="S182" s="1"/>
  <c r="K184"/>
  <c r="S184" s="1"/>
  <c r="S181"/>
  <c r="K185"/>
  <c r="S71"/>
  <c r="K74"/>
  <c r="S74" s="1"/>
  <c r="K72"/>
  <c r="S72" s="1"/>
  <c r="K75"/>
  <c r="K78"/>
  <c r="S78" s="1"/>
  <c r="K80"/>
  <c r="S80" s="1"/>
  <c r="S77"/>
  <c r="K81"/>
  <c r="K46" i="21"/>
  <c r="S46" s="1"/>
  <c r="S45"/>
  <c r="S45" i="19"/>
  <c r="K46"/>
  <c r="S46" s="1"/>
  <c r="L9" i="17"/>
  <c r="U9" s="1"/>
  <c r="U8"/>
  <c r="K46" i="25"/>
  <c r="S46" s="1"/>
  <c r="S45"/>
  <c r="K425" i="24"/>
  <c r="K422"/>
  <c r="S422" s="1"/>
  <c r="K424"/>
  <c r="S424" s="1"/>
  <c r="S421"/>
  <c r="K321"/>
  <c r="K318"/>
  <c r="S318" s="1"/>
  <c r="K320"/>
  <c r="S320" s="1"/>
  <c r="S317"/>
  <c r="K217"/>
  <c r="K214"/>
  <c r="S214" s="1"/>
  <c r="K216"/>
  <c r="S216" s="1"/>
  <c r="S213"/>
  <c r="K113"/>
  <c r="K110"/>
  <c r="S110" s="1"/>
  <c r="K112"/>
  <c r="S112" s="1"/>
  <c r="S109"/>
  <c r="K373"/>
  <c r="K370"/>
  <c r="S370" s="1"/>
  <c r="K372"/>
  <c r="S372" s="1"/>
  <c r="S369"/>
  <c r="K448"/>
  <c r="S448" s="1"/>
  <c r="K450"/>
  <c r="S450" s="1"/>
  <c r="S447"/>
  <c r="K451"/>
  <c r="K344"/>
  <c r="S344" s="1"/>
  <c r="K346"/>
  <c r="S346" s="1"/>
  <c r="S343"/>
  <c r="K347"/>
  <c r="K240"/>
  <c r="S240" s="1"/>
  <c r="K242"/>
  <c r="S242" s="1"/>
  <c r="S239"/>
  <c r="K243"/>
  <c r="K136"/>
  <c r="S136" s="1"/>
  <c r="K138"/>
  <c r="S138" s="1"/>
  <c r="S135"/>
  <c r="K139"/>
  <c r="K55"/>
  <c r="K52"/>
  <c r="S52" s="1"/>
  <c r="K54"/>
  <c r="S54" s="1"/>
  <c r="S51"/>
  <c r="K152"/>
  <c r="S152" s="1"/>
  <c r="K150"/>
  <c r="S150" s="1"/>
  <c r="K153"/>
  <c r="S149"/>
  <c r="S48" i="16"/>
  <c r="K49"/>
  <c r="S49" s="1"/>
  <c r="H25" i="59"/>
  <c r="L25" s="1"/>
  <c r="L24"/>
  <c r="K7" i="25"/>
  <c r="S7" s="1"/>
  <c r="S6"/>
  <c r="K292" i="24"/>
  <c r="S292" s="1"/>
  <c r="K294"/>
  <c r="S294" s="1"/>
  <c r="S291"/>
  <c r="K295"/>
  <c r="K7" i="27"/>
  <c r="S7" s="1"/>
  <c r="S6"/>
  <c r="K464" i="24"/>
  <c r="S464" s="1"/>
  <c r="K462"/>
  <c r="S462" s="1"/>
  <c r="K465"/>
  <c r="S461"/>
  <c r="K256"/>
  <c r="S256" s="1"/>
  <c r="K254"/>
  <c r="S254" s="1"/>
  <c r="K257"/>
  <c r="S253"/>
  <c r="I47" i="14"/>
  <c r="J48"/>
  <c r="K419" i="24"/>
  <c r="K416"/>
  <c r="S416" s="1"/>
  <c r="K418"/>
  <c r="S418" s="1"/>
  <c r="S415"/>
  <c r="K315"/>
  <c r="K312"/>
  <c r="S312" s="1"/>
  <c r="K314"/>
  <c r="S314" s="1"/>
  <c r="S311"/>
  <c r="K211"/>
  <c r="K208"/>
  <c r="S208" s="1"/>
  <c r="K210"/>
  <c r="S210" s="1"/>
  <c r="S207"/>
  <c r="K107"/>
  <c r="K104"/>
  <c r="S104" s="1"/>
  <c r="K106"/>
  <c r="S106" s="1"/>
  <c r="S103"/>
  <c r="K367"/>
  <c r="K364"/>
  <c r="S364" s="1"/>
  <c r="K366"/>
  <c r="S366" s="1"/>
  <c r="S363"/>
  <c r="S435"/>
  <c r="K438"/>
  <c r="S438" s="1"/>
  <c r="K436"/>
  <c r="S436" s="1"/>
  <c r="K439"/>
  <c r="K442"/>
  <c r="S442" s="1"/>
  <c r="K444"/>
  <c r="S444" s="1"/>
  <c r="S441"/>
  <c r="K445"/>
  <c r="S331"/>
  <c r="K334"/>
  <c r="S334" s="1"/>
  <c r="K332"/>
  <c r="S332" s="1"/>
  <c r="K335"/>
  <c r="K338"/>
  <c r="S338" s="1"/>
  <c r="K340"/>
  <c r="S340" s="1"/>
  <c r="S337"/>
  <c r="K341"/>
  <c r="S227"/>
  <c r="K230"/>
  <c r="S230" s="1"/>
  <c r="K228"/>
  <c r="S228" s="1"/>
  <c r="K231"/>
  <c r="K234"/>
  <c r="S234" s="1"/>
  <c r="K236"/>
  <c r="S236" s="1"/>
  <c r="S233"/>
  <c r="K237"/>
  <c r="S123"/>
  <c r="K126"/>
  <c r="S126" s="1"/>
  <c r="K124"/>
  <c r="S124" s="1"/>
  <c r="K127"/>
  <c r="K130"/>
  <c r="S130" s="1"/>
  <c r="K132"/>
  <c r="S132" s="1"/>
  <c r="S129"/>
  <c r="K133"/>
  <c r="J45" i="27"/>
  <c r="S44"/>
  <c r="S45" i="20"/>
  <c r="K46"/>
  <c r="S46" s="1"/>
  <c r="K165" i="24"/>
  <c r="K162"/>
  <c r="S162" s="1"/>
  <c r="K164"/>
  <c r="S164" s="1"/>
  <c r="S161"/>
  <c r="U55" i="17"/>
  <c r="L56"/>
  <c r="U56" s="1"/>
  <c r="K49" i="15"/>
  <c r="S49" s="1"/>
  <c r="S48"/>
  <c r="K49" i="12"/>
  <c r="S49" s="1"/>
  <c r="S48"/>
  <c r="K477" i="24"/>
  <c r="K474"/>
  <c r="S474" s="1"/>
  <c r="K476"/>
  <c r="S476" s="1"/>
  <c r="S473"/>
  <c r="K269"/>
  <c r="K266"/>
  <c r="S266" s="1"/>
  <c r="K268"/>
  <c r="S268" s="1"/>
  <c r="S265"/>
  <c r="H25" i="58"/>
  <c r="L25" s="1"/>
  <c r="L24"/>
  <c r="D42" i="7"/>
  <c r="D43" s="1"/>
  <c r="D44" s="1"/>
  <c r="D39"/>
  <c r="D40"/>
  <c r="K48" i="24"/>
  <c r="S48" s="1"/>
  <c r="K46"/>
  <c r="S46" s="1"/>
  <c r="K49"/>
  <c r="S45"/>
  <c r="J45" i="28"/>
  <c r="S44"/>
  <c r="K7" i="24"/>
  <c r="S7" s="1"/>
  <c r="S6"/>
  <c r="K159"/>
  <c r="K156"/>
  <c r="S156" s="1"/>
  <c r="K158"/>
  <c r="S158" s="1"/>
  <c r="S155"/>
  <c r="K46" i="28" l="1"/>
  <c r="S46" s="1"/>
  <c r="S45"/>
  <c r="K49" i="14"/>
  <c r="S49" s="1"/>
  <c r="S48"/>
  <c r="D46" i="7"/>
  <c r="D47"/>
  <c r="D48"/>
  <c r="D45"/>
  <c r="D50"/>
  <c r="S45" i="27"/>
  <c r="K46"/>
  <c r="S46" s="1"/>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<sst xmlns="http://schemas.openxmlformats.org/spreadsheetml/2006/main" count="16035" uniqueCount="3673">
  <si>
    <t xml:space="preserve"> (требуется обновление)</t>
  </si>
  <si>
    <t>Код отчёта: PP108.OPEN.INFO.PRICE.VOTV.EIAS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</si>
  <si>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</si>
  <si>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</si>
  <si>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</si>
  <si>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</si>
  <si>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</si>
  <si>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</si>
  <si>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</si>
  <si>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</si>
  <si>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</si>
  <si>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</si>
  <si>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</si>
  <si>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</si>
  <si>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Ульяновская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</si>
  <si>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</si>
  <si>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</si>
  <si>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</si>
  <si>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</si>
  <si>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</si>
  <si>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</si>
  <si>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</si>
  <si>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</si>
  <si>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</si>
  <si>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</si>
  <si>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</si>
  <si>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</si>
  <si>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</si>
  <si>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</si>
  <si>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</si>
  <si>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</si>
  <si>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</si>
  <si>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</si>
  <si>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</si>
  <si>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</si>
  <si>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</si>
  <si>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</si>
  <si>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233-П</t>
  </si>
  <si>
    <t>Наименование органа регулирования, принявшего решение об утверждении тарифов</t>
  </si>
  <si>
    <t>Агентство по регулированию цен и тарифов Ульяновской области</t>
  </si>
  <si>
    <t>Источник официального опубликования решения</t>
  </si>
  <si>
    <t>сайт Агентства по регулированию цен и тарифов Ульяновской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</si>
  <si>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</si>
  <si>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</si>
  <si>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</si>
  <si>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ОГКП "Ульяновский областной водоканал"</t>
  </si>
  <si>
    <t>Наименование (описание) обособленного подразделения</t>
  </si>
  <si>
    <t>ИНН</t>
  </si>
  <si>
    <t>7315905278</t>
  </si>
  <si>
    <t>КПП</t>
  </si>
  <si>
    <t>731501001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</si>
  <si>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</si>
  <si>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</si>
  <si>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</si>
  <si>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</si>
  <si>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</si>
  <si>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</si>
  <si>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</si>
  <si>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</si>
  <si>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</si>
  <si>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</si>
  <si>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</si>
  <si>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</si>
  <si>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</si>
  <si>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</si>
  <si>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</si>
  <si>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</si>
  <si>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</si>
  <si>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</si>
  <si>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433910, Ульяновская область, Радищевское городское поселение, р.п. Радищево, ул. Кооперативная, дом 58А</t>
  </si>
  <si>
    <t>Фамилия, имя, отчество руководителя</t>
  </si>
  <si>
    <t>Шмырев Алексей Викторович</t>
  </si>
  <si>
    <t>Ответственный за заполнение формы</t>
  </si>
  <si>
    <t>Фамилия, имя, отчество</t>
  </si>
  <si>
    <t>Белянушкина Ангелина Владимировна</t>
  </si>
  <si>
    <t>Должность</t>
  </si>
  <si>
    <t>Ведущий экономист</t>
  </si>
  <si>
    <t>Контактный телефон</t>
  </si>
  <si>
    <t>8 8422 38 43 79</t>
  </si>
  <si>
    <t>E-mail</t>
  </si>
  <si>
    <t>avbelyanushkina@bk.ru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</si>
  <si>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</si>
  <si>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</si>
  <si>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</si>
  <si>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</si>
  <si>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</si>
  <si>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</si>
  <si>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</si>
  <si>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</si>
  <si>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</si>
  <si>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</si>
  <si>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</si>
  <si>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</si>
  <si>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</si>
  <si>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</si>
  <si>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</si>
  <si>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</si>
  <si>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107</t>
  </si>
  <si>
    <t>Сенгилеевский муниципальный район</t>
  </si>
  <si>
    <t>Силикатненское городское поселение</t>
  </si>
  <si>
    <t>73636157</t>
  </si>
  <si>
    <t>2</t>
  </si>
  <si>
    <t>×</t>
  </si>
  <si>
    <t>103</t>
  </si>
  <si>
    <t>Красногуляевское городское поселение</t>
  </si>
  <si>
    <t>73636153</t>
  </si>
  <si>
    <t>Добавить МО</t>
  </si>
  <si>
    <t>ter_55</t>
  </si>
  <si>
    <t>140</t>
  </si>
  <si>
    <t>Ульяновский муниципальный район</t>
  </si>
  <si>
    <t>Ишеевское городское поселение</t>
  </si>
  <si>
    <t>73652151</t>
  </si>
  <si>
    <t>139</t>
  </si>
  <si>
    <t>Зеленорощинское</t>
  </si>
  <si>
    <t>73652420</t>
  </si>
  <si>
    <t>138</t>
  </si>
  <si>
    <t>Большеключищенское</t>
  </si>
  <si>
    <t>73652415</t>
  </si>
  <si>
    <t>ter_56</t>
  </si>
  <si>
    <t>136</t>
  </si>
  <si>
    <t>Тереньгульский муниципальный район</t>
  </si>
  <si>
    <t>Тереньгульское городское поселение</t>
  </si>
  <si>
    <t>73648151</t>
  </si>
  <si>
    <t>ter_57</t>
  </si>
  <si>
    <t>54</t>
  </si>
  <si>
    <t>Майнский муниципальный район</t>
  </si>
  <si>
    <t>Майнское городское поселение</t>
  </si>
  <si>
    <t>73620151</t>
  </si>
  <si>
    <t>5</t>
  </si>
  <si>
    <t>ter_58</t>
  </si>
  <si>
    <t>37</t>
  </si>
  <si>
    <t>Карсунский муниципальный район</t>
  </si>
  <si>
    <t>Карсунское городское поселение</t>
  </si>
  <si>
    <t>73614151</t>
  </si>
  <si>
    <t>41</t>
  </si>
  <si>
    <t>Языковское городское поселение</t>
  </si>
  <si>
    <t>73614158</t>
  </si>
  <si>
    <t>ter_59</t>
  </si>
  <si>
    <t>8</t>
  </si>
  <si>
    <t>Барышский муниципальный район</t>
  </si>
  <si>
    <t>Барышское городское поселение</t>
  </si>
  <si>
    <t>73604101</t>
  </si>
  <si>
    <t>ter_60</t>
  </si>
  <si>
    <t>91</t>
  </si>
  <si>
    <t>Павловский муниципальный район</t>
  </si>
  <si>
    <t>Павловское городское поселение</t>
  </si>
  <si>
    <t>73632151</t>
  </si>
  <si>
    <t>ter_61</t>
  </si>
  <si>
    <t>166</t>
  </si>
  <si>
    <t>город Новоульяновск</t>
  </si>
  <si>
    <t>73715000</t>
  </si>
  <si>
    <t>9</t>
  </si>
  <si>
    <t>ter_62</t>
  </si>
  <si>
    <t>71</t>
  </si>
  <si>
    <t>Николаевский муниципальный район</t>
  </si>
  <si>
    <t>Николаевское городское поселение</t>
  </si>
  <si>
    <t>73625151</t>
  </si>
  <si>
    <t>10</t>
  </si>
  <si>
    <t>ter_63</t>
  </si>
  <si>
    <t>Базарносызганский муниципальный район</t>
  </si>
  <si>
    <t>Базарносызганское городское поселение</t>
  </si>
  <si>
    <t>73602151</t>
  </si>
  <si>
    <t>11</t>
  </si>
  <si>
    <t>ter_64</t>
  </si>
  <si>
    <t>46</t>
  </si>
  <si>
    <t>Кузоватовский муниципальный район</t>
  </si>
  <si>
    <t>Кузоватовское городское поселение</t>
  </si>
  <si>
    <t>73616151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</si>
  <si>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</si>
  <si>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</si>
  <si>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</si>
  <si>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</si>
  <si>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</si>
  <si>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</si>
  <si>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</si>
  <si>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</si>
  <si>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</si>
  <si>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</si>
  <si>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</si>
  <si>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</si>
  <si>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</si>
  <si>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</si>
  <si>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</si>
  <si>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</si>
  <si>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</si>
  <si>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</si>
  <si>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</si>
  <si>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</si>
  <si>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</si>
  <si>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</si>
  <si>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</si>
  <si>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</si>
  <si>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</si>
  <si>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</si>
  <si>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</si>
  <si>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</si>
  <si>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</si>
  <si>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</si>
  <si>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</si>
  <si>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</si>
  <si>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</si>
  <si>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</si>
  <si>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</si>
  <si>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</si>
  <si>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</si>
  <si>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</si>
  <si>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</si>
  <si>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</si>
  <si>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</si>
  <si>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</si>
  <si>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</si>
  <si>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</si>
  <si>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</si>
  <si>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</si>
  <si>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</si>
  <si>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</si>
  <si>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</si>
  <si>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</si>
  <si>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</si>
  <si>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</si>
  <si>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</si>
  <si>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</si>
  <si>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</si>
  <si>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</si>
  <si>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</si>
  <si>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</si>
  <si>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</si>
  <si>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</si>
  <si>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</si>
  <si>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</si>
  <si>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</si>
  <si>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</si>
  <si>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</si>
  <si>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</si>
  <si>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</si>
  <si>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</si>
  <si>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</si>
  <si>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</si>
  <si>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</si>
  <si>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</si>
  <si>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</si>
  <si>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</si>
  <si>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</si>
  <si>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</si>
  <si>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</si>
  <si>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</si>
  <si>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</si>
  <si>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</si>
  <si>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</si>
  <si>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</si>
  <si>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</si>
  <si>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</si>
  <si>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</si>
  <si>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</si>
  <si>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</si>
  <si>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</si>
  <si>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</si>
  <si>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</si>
  <si>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</si>
  <si>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</si>
  <si>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</si>
  <si>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</si>
  <si>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</si>
  <si>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</si>
  <si>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</si>
  <si>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</si>
  <si>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</si>
  <si>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</si>
  <si>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</si>
  <si>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</si>
  <si>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</si>
  <si>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</si>
  <si>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</si>
  <si>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</si>
  <si>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</si>
  <si>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</si>
  <si>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</si>
  <si>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</si>
  <si>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</si>
  <si>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</si>
  <si>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</si>
  <si>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</si>
  <si>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</si>
  <si>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</si>
  <si>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</si>
  <si>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</si>
  <si>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</si>
  <si>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</si>
  <si>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</si>
  <si>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</si>
  <si>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</si>
  <si>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</si>
  <si>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</si>
  <si>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</si>
  <si>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</si>
  <si>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</si>
  <si>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</si>
  <si>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</si>
  <si>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</si>
  <si>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</si>
  <si>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</si>
  <si>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</si>
  <si>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</si>
  <si>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</si>
  <si>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</si>
  <si>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</si>
  <si>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</si>
  <si>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</si>
  <si>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</si>
  <si>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</si>
  <si>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</si>
  <si>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</si>
  <si>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</si>
  <si>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</si>
  <si>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</si>
  <si>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</si>
  <si>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</si>
  <si>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</si>
  <si>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t>
  </si>
  <si>
    <t>pt_ntar_27</t>
  </si>
  <si>
    <t>pt_ter_31</t>
  </si>
  <si>
    <t>pt_cs_31</t>
  </si>
  <si>
    <t>pt_ist_te_31</t>
  </si>
  <si>
    <t>С использованием централизованной системы водоотведения на территории МО "Ишеевское городское поселение" Ульяновского района Ульяновской области</t>
  </si>
  <si>
    <t>pt_ntar_28</t>
  </si>
  <si>
    <t>pt_ter_32</t>
  </si>
  <si>
    <t>pt_cs_32</t>
  </si>
  <si>
    <t>pt_ist_te_32</t>
  </si>
  <si>
    <t>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t>
  </si>
  <si>
    <t>pt_ntar_29</t>
  </si>
  <si>
    <t>pt_ter_33</t>
  </si>
  <si>
    <t>pt_cs_33</t>
  </si>
  <si>
    <t>pt_ist_te_33</t>
  </si>
  <si>
    <t>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t>
  </si>
  <si>
    <t>pt_ntar_30</t>
  </si>
  <si>
    <t>pt_ter_34</t>
  </si>
  <si>
    <t>pt_cs_34</t>
  </si>
  <si>
    <t>pt_ist_te_34</t>
  </si>
  <si>
    <t>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t>
  </si>
  <si>
    <t>pt_ntar_31</t>
  </si>
  <si>
    <t>pt_ter_35</t>
  </si>
  <si>
    <t>pt_cs_35</t>
  </si>
  <si>
    <t>pt_ist_te_35</t>
  </si>
  <si>
    <t>С использованием централизованной системы водоотведения на территории МО "Майнское городское поселение" Майнского района Ульяновской области</t>
  </si>
  <si>
    <t>pt_ntar_32</t>
  </si>
  <si>
    <t>pt_ter_36</t>
  </si>
  <si>
    <t>pt_cs_36</t>
  </si>
  <si>
    <t>pt_ist_te_36</t>
  </si>
  <si>
    <t>С использованием централизованной системы водоотведения на территории МО "Карсунское городское поселение" Карсунского района Ульяновской области</t>
  </si>
  <si>
    <t>pt_ntar_33</t>
  </si>
  <si>
    <t>pt_ter_37</t>
  </si>
  <si>
    <t>pt_cs_37</t>
  </si>
  <si>
    <t>pt_ist_te_37</t>
  </si>
  <si>
    <t>С использованием централизованной системы водоотведения на территории МО "Языковское городское поселение" Карсунского района Ульяновской области</t>
  </si>
  <si>
    <t>pt_ntar_34</t>
  </si>
  <si>
    <t>pt_ter_38</t>
  </si>
  <si>
    <t>pt_cs_38</t>
  </si>
  <si>
    <t>pt_ist_te_38</t>
  </si>
  <si>
    <t>С использованием централизованной системы водоотведения на территории МО "Барышское городское поселение" Барышского района Ульяновской области</t>
  </si>
  <si>
    <t>pt_ntar_35</t>
  </si>
  <si>
    <t>pt_ter_39</t>
  </si>
  <si>
    <t>pt_cs_39</t>
  </si>
  <si>
    <t>pt_ist_te_39</t>
  </si>
  <si>
    <t>С использованием централизованной системы водоотведения на территории МО "Павловское городское поселение" Павловского района Ульяновской области</t>
  </si>
  <si>
    <t>pt_ntar_36</t>
  </si>
  <si>
    <t>pt_ter_40</t>
  </si>
  <si>
    <t>pt_cs_40</t>
  </si>
  <si>
    <t>pt_ist_te_40</t>
  </si>
  <si>
    <t>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t>
  </si>
  <si>
    <t>pt_ntar_37</t>
  </si>
  <si>
    <t>pt_ter_41</t>
  </si>
  <si>
    <t>pt_cs_41</t>
  </si>
  <si>
    <t>pt_ist_te_41</t>
  </si>
  <si>
    <t>С использованием централизованной системы водоотведения на территории села Криуши МО "Город Новоульяновск" Ульяновской области</t>
  </si>
  <si>
    <t>pt_ntar_38</t>
  </si>
  <si>
    <t>pt_ter_42</t>
  </si>
  <si>
    <t>pt_cs_42</t>
  </si>
  <si>
    <t>pt_ist_te_42</t>
  </si>
  <si>
    <t>С использованием централизованной системы водоотведения на территории посёлка Липки МО "Город Новоульяновск Ульяновской области</t>
  </si>
  <si>
    <t>pt_ntar_39</t>
  </si>
  <si>
    <t>pt_ter_43</t>
  </si>
  <si>
    <t>pt_cs_43</t>
  </si>
  <si>
    <t>pt_ist_te_43</t>
  </si>
  <si>
    <t>15</t>
  </si>
  <si>
    <t>С использованием централизованной системы водоотведения на территории посёлка Меловой МО "Город Новоульяновск" Ульяновской области</t>
  </si>
  <si>
    <t>pt_ntar_40</t>
  </si>
  <si>
    <t>pt_ter_44</t>
  </si>
  <si>
    <t>pt_cs_44</t>
  </si>
  <si>
    <t>pt_ist_te_44</t>
  </si>
  <si>
    <t>16</t>
  </si>
  <si>
    <t>С использованием централизованной системы водоотведения на территории МО "Николаевское городское поселение" Николаевского района Ульяновской области</t>
  </si>
  <si>
    <t>pt_ntar_41</t>
  </si>
  <si>
    <t>pt_ter_45</t>
  </si>
  <si>
    <t>pt_cs_45</t>
  </si>
  <si>
    <t>pt_ist_te_45</t>
  </si>
  <si>
    <t>17</t>
  </si>
  <si>
    <t>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t>
  </si>
  <si>
    <t>pt_ntar_42</t>
  </si>
  <si>
    <t>pt_ter_46</t>
  </si>
  <si>
    <t>pt_cs_46</t>
  </si>
  <si>
    <t>pt_ist_te_46</t>
  </si>
  <si>
    <t>18</t>
  </si>
  <si>
    <t>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t>
  </si>
  <si>
    <t>pt_ntar_43</t>
  </si>
  <si>
    <t>pt_ter_47</t>
  </si>
  <si>
    <t>pt_cs_47</t>
  </si>
  <si>
    <t>pt_ist_te_47</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</si>
  <si>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</si>
  <si>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</si>
  <si>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</si>
  <si>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</si>
  <si>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</si>
  <si>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</si>
  <si>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</si>
  <si>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</si>
  <si>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</si>
  <si>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</si>
  <si>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</si>
  <si>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</si>
  <si>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</si>
  <si>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</si>
  <si>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</si>
  <si>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</si>
  <si>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</si>
  <si>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</si>
  <si>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</si>
  <si>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</si>
  <si>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</si>
  <si>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</si>
  <si>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</si>
  <si>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</si>
  <si>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</si>
  <si>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</si>
  <si>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</si>
  <si>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</si>
  <si>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</si>
  <si>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</si>
  <si>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</si>
  <si>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</si>
  <si>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</si>
  <si>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</si>
  <si>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</si>
  <si>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</si>
  <si>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</si>
  <si>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</si>
  <si>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</si>
  <si>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</si>
  <si>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</si>
  <si>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</si>
  <si>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</si>
  <si>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</si>
  <si>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</si>
  <si>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</si>
  <si>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</si>
  <si>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</si>
  <si>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</si>
  <si>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</si>
  <si>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</si>
  <si>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</si>
  <si>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</si>
  <si>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</si>
  <si>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</si>
  <si>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</si>
  <si>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</si>
  <si>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</si>
  <si>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</si>
  <si>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</si>
  <si>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</si>
  <si>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</si>
  <si>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</si>
  <si>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</si>
  <si>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</si>
  <si>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</si>
  <si>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</si>
  <si>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</si>
  <si>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</si>
  <si>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</si>
  <si>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</si>
  <si>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</si>
  <si>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</si>
  <si>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</si>
  <si>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</si>
  <si>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</si>
  <si>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</si>
  <si>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</si>
  <si>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</si>
  <si>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</si>
  <si>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</si>
  <si>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</si>
  <si>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</si>
  <si>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</si>
  <si>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</si>
  <si>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</si>
  <si>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</si>
  <si>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</si>
  <si>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</si>
  <si>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</si>
  <si>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</si>
  <si>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</si>
  <si>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</si>
  <si>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</si>
  <si>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</si>
  <si>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</si>
  <si>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</si>
  <si>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</si>
  <si>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</si>
  <si>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</si>
  <si>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</si>
  <si>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</si>
  <si>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</si>
  <si>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</si>
  <si>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</si>
  <si>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</si>
  <si>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</si>
  <si>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</si>
  <si>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</si>
  <si>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</si>
  <si>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</si>
  <si>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</si>
  <si>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</si>
  <si>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</si>
  <si>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</si>
  <si>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</si>
  <si>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</si>
  <si>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</si>
  <si>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</si>
  <si>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</si>
  <si>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</si>
  <si>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</si>
  <si>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</si>
  <si>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</si>
  <si>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</si>
  <si>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</si>
  <si>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</si>
  <si>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</si>
  <si>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</si>
  <si>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</si>
  <si>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</si>
  <si>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</si>
  <si>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</si>
  <si>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</si>
  <si>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</si>
  <si>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</si>
  <si>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</si>
  <si>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</si>
  <si>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</si>
  <si>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</si>
  <si>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</si>
  <si>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</si>
  <si>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</si>
  <si>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</si>
  <si>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</si>
  <si>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</si>
  <si>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</si>
  <si>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</si>
  <si>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</si>
  <si>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</si>
  <si>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</si>
  <si>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</si>
  <si>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</si>
  <si>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</si>
  <si>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</si>
  <si>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</si>
  <si>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</si>
  <si>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</si>
  <si>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</si>
  <si>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</si>
  <si>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</si>
  <si>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</si>
  <si>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</si>
  <si>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</si>
  <si>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</si>
  <si>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</si>
  <si>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</si>
  <si>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</si>
  <si>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</si>
  <si>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</si>
  <si>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</si>
  <si>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</si>
  <si>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</si>
  <si>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</si>
  <si>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</si>
  <si>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</si>
  <si>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</si>
  <si>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</si>
  <si>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</si>
  <si>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</si>
  <si>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</si>
  <si>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</si>
  <si>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</si>
  <si>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</si>
  <si>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</si>
  <si>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</si>
  <si>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</si>
  <si>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</si>
  <si>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</si>
  <si>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</si>
  <si>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</si>
  <si>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</si>
  <si>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</si>
  <si>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</si>
  <si>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</si>
  <si>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</si>
  <si>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</si>
  <si>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</si>
  <si>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</si>
  <si>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</si>
  <si>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</si>
  <si>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</si>
  <si>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</si>
  <si>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</si>
  <si>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</si>
  <si>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</si>
  <si>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</si>
  <si>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</si>
  <si>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</si>
  <si>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</si>
  <si>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</si>
  <si>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</si>
  <si>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</si>
  <si>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</si>
  <si>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</si>
  <si>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</si>
  <si>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</si>
  <si>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</si>
  <si>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</si>
  <si>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</si>
  <si>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</si>
  <si>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</si>
  <si>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</si>
  <si>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</si>
  <si>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</si>
  <si>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</si>
  <si>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</si>
  <si>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</si>
  <si>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</si>
  <si>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</si>
  <si>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</si>
  <si>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</si>
  <si>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</si>
  <si>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</si>
  <si>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</si>
  <si>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</si>
  <si>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</si>
  <si>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</si>
  <si>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</si>
  <si>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</si>
  <si>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</si>
  <si>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</si>
  <si>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</si>
  <si>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</si>
  <si>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</si>
  <si>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</si>
  <si>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</si>
  <si>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</si>
  <si>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</si>
  <si>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</si>
  <si>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население</t>
  </si>
  <si>
    <t>Население (с учетом НДС)</t>
  </si>
  <si>
    <t>прочие</t>
  </si>
  <si>
    <t>Потребители, кроме населения (без учета НДС)</t>
  </si>
  <si>
    <t>бюджетные организации</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</si>
  <si>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</si>
  <si>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</si>
  <si>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</si>
  <si>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</si>
  <si>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</si>
  <si>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</si>
  <si>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</si>
  <si>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</si>
  <si>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</si>
  <si>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</si>
  <si>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</si>
  <si>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</si>
  <si>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</si>
  <si>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</si>
  <si>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</si>
  <si>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</si>
  <si>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</si>
  <si>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</si>
  <si>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</si>
  <si>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</si>
  <si>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</si>
  <si>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</si>
  <si>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</si>
  <si>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</si>
  <si>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</si>
  <si>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</si>
  <si>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</si>
  <si>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</si>
  <si>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</si>
  <si>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</si>
  <si>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</si>
  <si>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</si>
  <si>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</si>
  <si>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</si>
  <si>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</si>
  <si>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</si>
  <si>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</si>
  <si>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</si>
  <si>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</si>
  <si>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</si>
  <si>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</si>
  <si>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</si>
  <si>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</si>
  <si>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</si>
  <si>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</si>
  <si>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</si>
  <si>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</si>
  <si>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</si>
  <si>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</si>
  <si>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</si>
  <si>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</si>
  <si>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</si>
  <si>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</si>
  <si>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</si>
  <si>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</si>
  <si>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</si>
  <si>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</si>
  <si>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</si>
  <si>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</si>
  <si>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</si>
  <si>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</si>
  <si>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</si>
  <si>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</si>
  <si>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</si>
  <si>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</si>
  <si>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</si>
  <si>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</si>
  <si>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</si>
  <si>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</si>
  <si>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</si>
  <si>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</si>
  <si>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</si>
  <si>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</si>
  <si>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</si>
  <si>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</si>
  <si>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</si>
  <si>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</si>
  <si>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</si>
  <si>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</si>
  <si>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</si>
  <si>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</si>
  <si>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</si>
  <si>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</si>
  <si>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</si>
  <si>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</si>
  <si>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</si>
  <si>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</si>
  <si>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</si>
  <si>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</si>
  <si>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</si>
  <si>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</si>
  <si>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</si>
  <si>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</si>
  <si>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</si>
  <si>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</si>
  <si>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</si>
  <si>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</si>
  <si>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</si>
  <si>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</si>
  <si>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</si>
  <si>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</si>
  <si>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</si>
  <si>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</si>
  <si>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</si>
  <si>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</si>
  <si>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</si>
  <si>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</si>
  <si>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</si>
  <si>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</si>
  <si>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</si>
  <si>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</si>
  <si>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</si>
  <si>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</si>
  <si>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</si>
  <si>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</si>
  <si>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</si>
  <si>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</si>
  <si>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</si>
  <si>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</si>
  <si>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</si>
  <si>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</si>
  <si>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</si>
  <si>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</si>
  <si>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</si>
  <si>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</si>
  <si>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</si>
  <si>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</si>
  <si>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</si>
  <si>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</si>
  <si>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</si>
  <si>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</si>
  <si>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</si>
  <si>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</si>
  <si>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</si>
  <si>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</si>
  <si>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</si>
  <si>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</si>
  <si>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</si>
  <si>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</si>
  <si>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</si>
  <si>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</si>
  <si>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</si>
  <si>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</si>
  <si>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</si>
  <si>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</si>
  <si>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</si>
  <si>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</si>
  <si>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</si>
  <si>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</si>
  <si>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</si>
  <si>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</si>
  <si>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</si>
  <si>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</si>
  <si>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</si>
  <si>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</si>
  <si>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</si>
  <si>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</si>
  <si>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</si>
  <si>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</si>
  <si>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</si>
  <si>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</si>
  <si>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</si>
  <si>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</si>
  <si>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</si>
  <si>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</si>
  <si>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</si>
  <si>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</si>
  <si>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</si>
  <si>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</si>
  <si>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</si>
  <si>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</si>
  <si>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</si>
  <si>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</si>
  <si>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</si>
  <si>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</si>
  <si>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</si>
  <si>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</si>
  <si>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</si>
  <si>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</si>
  <si>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</si>
  <si>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</si>
  <si>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</si>
  <si>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</si>
  <si>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</si>
  <si>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</si>
  <si>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</si>
  <si>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</si>
  <si>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</si>
  <si>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</si>
  <si>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</si>
  <si>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</si>
  <si>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</si>
  <si>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</si>
  <si>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</si>
  <si>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</si>
  <si>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</si>
  <si>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</si>
  <si>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</si>
  <si>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</si>
  <si>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</si>
  <si>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</si>
  <si>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</si>
  <si>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</si>
  <si>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</si>
  <si>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</si>
  <si>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</si>
  <si>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</si>
  <si>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</si>
  <si>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</si>
  <si>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</si>
  <si>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</si>
  <si>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</si>
  <si>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</si>
  <si>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</si>
  <si>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</si>
  <si>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</si>
  <si>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</si>
  <si>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</si>
  <si>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</si>
  <si>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</si>
  <si>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</si>
  <si>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</si>
  <si>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</si>
  <si>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</si>
  <si>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</si>
  <si>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</si>
  <si>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</si>
  <si>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</si>
  <si>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</si>
  <si>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</si>
  <si>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</si>
  <si>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</si>
  <si>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</si>
  <si>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</si>
  <si>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</si>
  <si>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</si>
  <si>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</si>
  <si>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</si>
  <si>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</si>
  <si>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</si>
  <si>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</si>
  <si>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</si>
  <si>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</si>
  <si>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</si>
  <si>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</si>
  <si>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</si>
  <si>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</si>
  <si>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</si>
  <si>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</si>
  <si>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</si>
  <si>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</si>
  <si>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</si>
  <si>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</si>
  <si>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</si>
  <si>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</si>
  <si>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</si>
  <si>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</si>
  <si>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</si>
  <si>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</si>
  <si>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</si>
  <si>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</si>
  <si>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</si>
  <si>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</si>
  <si>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</si>
  <si>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</si>
  <si>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</si>
  <si>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</si>
  <si>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</si>
  <si>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</si>
  <si>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</si>
  <si>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</si>
  <si>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</si>
  <si>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</si>
  <si>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</si>
  <si>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</si>
  <si>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</si>
  <si>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</si>
  <si>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</si>
  <si>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</si>
  <si>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</si>
  <si>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</si>
  <si>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</si>
  <si>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</si>
  <si>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</si>
  <si>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</si>
  <si>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</si>
  <si>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</si>
  <si>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</si>
  <si>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</si>
  <si>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</si>
  <si>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</si>
  <si>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</si>
  <si>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</si>
  <si>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</si>
  <si>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</si>
  <si>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</si>
  <si>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</si>
  <si>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</si>
  <si>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</si>
  <si>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</si>
  <si>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</si>
  <si>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</si>
  <si>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</si>
  <si>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</si>
  <si>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</si>
  <si>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</si>
  <si>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</si>
  <si>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</si>
  <si>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</si>
  <si>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</si>
  <si>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</si>
  <si>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</si>
  <si>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</si>
  <si>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</si>
  <si>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</si>
  <si>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</si>
  <si>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</si>
  <si>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</si>
  <si>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</si>
  <si>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</si>
  <si>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</si>
  <si>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</si>
  <si>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</si>
  <si>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</si>
  <si>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</si>
  <si>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</si>
  <si>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</si>
  <si>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</si>
  <si>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</si>
  <si>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</si>
  <si>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</si>
  <si>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</si>
  <si>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</si>
  <si>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</si>
  <si>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</si>
  <si>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</si>
  <si>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</si>
  <si>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</si>
  <si>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</si>
  <si>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</si>
  <si>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</si>
  <si>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</si>
  <si>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</si>
  <si>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</si>
  <si>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</si>
  <si>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</si>
  <si>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</si>
  <si>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</si>
  <si>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</si>
  <si>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</si>
  <si>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</si>
  <si>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</si>
  <si>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</si>
  <si>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</si>
  <si>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</si>
  <si>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</si>
  <si>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</si>
  <si>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</si>
  <si>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</si>
  <si>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</si>
  <si>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</si>
  <si>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</si>
  <si>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</si>
  <si>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</si>
  <si>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</si>
  <si>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</si>
  <si>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</si>
  <si>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</si>
  <si>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</si>
  <si>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</si>
  <si>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</si>
  <si>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</si>
  <si>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</si>
  <si>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</si>
  <si>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</si>
  <si>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</si>
  <si>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</si>
  <si>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</si>
  <si>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</si>
  <si>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</si>
  <si>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</si>
  <si>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</si>
  <si>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</si>
  <si>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</si>
  <si>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</si>
  <si>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</si>
  <si>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</si>
  <si>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</si>
  <si>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</si>
  <si>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</si>
  <si>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</si>
  <si>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</si>
  <si>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</si>
  <si>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</si>
  <si>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</si>
  <si>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</si>
  <si>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</si>
  <si>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</si>
  <si>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</si>
  <si>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</si>
  <si>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</si>
  <si>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</si>
  <si>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</si>
  <si>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</si>
  <si>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</si>
  <si>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</si>
  <si>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</si>
  <si>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</si>
  <si>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</si>
  <si>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</si>
  <si>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</si>
  <si>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</si>
  <si>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</si>
  <si>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</si>
  <si>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</si>
  <si>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</si>
  <si>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</si>
  <si>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</si>
  <si>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</si>
  <si>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</si>
  <si>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</si>
  <si>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</si>
  <si>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</si>
  <si>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</si>
  <si>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</si>
  <si>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</si>
  <si>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</si>
  <si>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</si>
  <si>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</si>
  <si>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</si>
  <si>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</si>
  <si>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</si>
  <si>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</si>
  <si>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</si>
  <si>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</si>
  <si>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</si>
  <si>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</si>
  <si>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</si>
  <si>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</si>
  <si>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</si>
  <si>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</si>
  <si>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</si>
  <si>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</si>
  <si>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</si>
  <si>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</si>
  <si>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</si>
  <si>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</si>
  <si>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</si>
  <si>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</si>
  <si>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</si>
  <si>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</si>
  <si>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</si>
  <si>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</si>
  <si>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</si>
  <si>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</si>
  <si>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</si>
  <si>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</si>
  <si>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</si>
  <si>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</si>
  <si>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</si>
  <si>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</si>
  <si>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</si>
  <si>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</si>
  <si>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</si>
  <si>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</si>
  <si>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</si>
  <si>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</si>
  <si>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</si>
  <si>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</si>
  <si>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</si>
  <si>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</si>
  <si>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</si>
  <si>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</si>
  <si>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</si>
  <si>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</si>
  <si>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</si>
  <si>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</si>
  <si>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</si>
  <si>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</si>
  <si>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</si>
  <si>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</si>
  <si>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</si>
  <si>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</si>
  <si>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</si>
  <si>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</si>
  <si>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</si>
  <si>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</si>
  <si>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</si>
  <si>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</si>
  <si>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</si>
  <si>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</si>
  <si>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</si>
  <si>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</si>
  <si>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</si>
  <si>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</si>
  <si>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</si>
  <si>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</si>
  <si>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</si>
  <si>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</si>
  <si>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</si>
  <si>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</si>
  <si>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</si>
  <si>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</si>
  <si>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</si>
  <si>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</si>
  <si>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</si>
  <si>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</si>
  <si>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</si>
  <si>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</si>
  <si>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</si>
  <si>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</si>
  <si>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</si>
  <si>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</si>
  <si>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</si>
  <si>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</si>
  <si>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</si>
  <si>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</si>
  <si>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</si>
  <si>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</si>
  <si>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</si>
  <si>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</si>
  <si>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</si>
  <si>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</si>
  <si>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</si>
  <si>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</si>
  <si>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</si>
  <si>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</si>
  <si>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</si>
  <si>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</si>
  <si>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</si>
  <si>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</si>
  <si>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</si>
  <si>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</si>
  <si>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</si>
  <si>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</si>
  <si>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</si>
  <si>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</si>
  <si>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</si>
  <si>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</si>
  <si>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</si>
  <si>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</si>
  <si>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</si>
  <si>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</si>
  <si>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</si>
  <si>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</si>
  <si>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</si>
  <si>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</si>
  <si>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</si>
  <si>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</si>
  <si>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</si>
  <si>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</si>
  <si>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</si>
  <si>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</si>
  <si>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</si>
  <si>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</si>
  <si>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</si>
  <si>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</si>
  <si>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</si>
  <si>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</si>
  <si>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</si>
  <si>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</si>
  <si>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</si>
  <si>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</si>
  <si>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</si>
  <si>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</si>
  <si>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</si>
  <si>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</si>
  <si>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</si>
  <si>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</si>
  <si>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</si>
  <si>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</si>
  <si>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</si>
  <si>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</si>
  <si>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</si>
  <si>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</si>
  <si>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</si>
  <si>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</si>
  <si>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</si>
  <si>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</si>
  <si>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</si>
  <si>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</si>
  <si>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</si>
  <si>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</si>
  <si>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</si>
  <si>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</si>
  <si>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</si>
  <si>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</si>
  <si>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</si>
  <si>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</si>
  <si>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</si>
  <si>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</si>
  <si>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</si>
  <si>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</si>
  <si>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</si>
  <si>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</si>
  <si>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</si>
  <si>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</si>
  <si>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</si>
  <si>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</si>
  <si>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</si>
  <si>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</si>
  <si>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</si>
  <si>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</si>
  <si>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</si>
  <si>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</si>
  <si>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</si>
  <si>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</si>
  <si>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</si>
  <si>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</si>
  <si>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</si>
  <si>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</si>
  <si>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</si>
  <si>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</si>
  <si>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</si>
  <si>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</si>
  <si>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</si>
  <si>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</si>
  <si>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</si>
  <si>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</si>
  <si>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</si>
  <si>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</si>
  <si>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</si>
  <si>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</si>
  <si>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</si>
  <si>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</si>
  <si>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</si>
  <si>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</si>
  <si>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</si>
  <si>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</si>
  <si>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</si>
  <si>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</si>
  <si>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</si>
  <si>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</si>
  <si>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</si>
  <si>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</si>
  <si>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</si>
  <si>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</si>
  <si>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</si>
  <si>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</si>
  <si>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</si>
  <si>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</si>
  <si>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</si>
  <si>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</si>
  <si>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</si>
  <si>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</si>
  <si>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</si>
  <si>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</si>
  <si>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</si>
  <si>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</si>
  <si>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</si>
  <si>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</si>
  <si>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</si>
  <si>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</si>
  <si>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</si>
  <si>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</si>
  <si>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</si>
  <si>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</si>
  <si>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</si>
  <si>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</si>
  <si>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</si>
  <si>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</si>
  <si>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</si>
  <si>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</si>
  <si>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</si>
  <si>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</si>
  <si>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</si>
  <si>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</si>
  <si>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</si>
  <si>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</si>
  <si>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</si>
  <si>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</si>
  <si>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</si>
  <si>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</si>
  <si>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</si>
  <si>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</si>
  <si>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</si>
  <si>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</si>
  <si>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</si>
  <si>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</si>
  <si>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</si>
  <si>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</si>
  <si>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</si>
  <si>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</si>
  <si>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</si>
  <si>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</si>
  <si>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</si>
  <si>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</si>
  <si>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</si>
  <si>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</si>
  <si>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</si>
  <si>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</si>
  <si>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</si>
  <si>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</si>
  <si>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</si>
  <si>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</si>
  <si>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</si>
  <si>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</si>
  <si>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</si>
  <si>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</si>
  <si>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</si>
  <si>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</si>
  <si>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</si>
  <si>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</si>
  <si>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</si>
  <si>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</si>
  <si>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</si>
  <si>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</si>
  <si>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</si>
  <si>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</si>
  <si>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</si>
  <si>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</si>
  <si>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</si>
  <si>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</si>
  <si>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</si>
  <si>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</si>
  <si>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</si>
  <si>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</si>
  <si>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</si>
  <si>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</si>
  <si>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</si>
  <si>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</si>
  <si>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</si>
  <si>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</si>
  <si>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</si>
  <si>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</si>
  <si>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</si>
  <si>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</si>
  <si>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</si>
  <si>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</si>
  <si>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</si>
  <si>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</si>
  <si>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</si>
  <si>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</si>
  <si>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</si>
  <si>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</si>
  <si>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</si>
  <si>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</si>
  <si>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</si>
  <si>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</si>
  <si>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</si>
  <si>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</si>
  <si>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</si>
  <si>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</si>
  <si>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</si>
  <si>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</si>
  <si>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</si>
  <si>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</si>
  <si>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</si>
  <si>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</si>
  <si>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</si>
  <si>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</si>
  <si>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</si>
  <si>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</si>
  <si>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</si>
  <si>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</si>
  <si>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</si>
  <si>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</si>
  <si>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</si>
  <si>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</si>
  <si>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</si>
  <si>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</si>
  <si>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</si>
  <si>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</si>
  <si>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</si>
  <si>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</si>
  <si>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</si>
  <si>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</si>
  <si>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</si>
  <si>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</si>
  <si>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</si>
  <si>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</si>
  <si>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</si>
  <si>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</si>
  <si>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</si>
  <si>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</si>
  <si>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</si>
  <si>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</si>
  <si>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</si>
  <si>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</si>
  <si>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</si>
  <si>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</si>
  <si>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</si>
  <si>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</si>
  <si>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</si>
  <si>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</si>
  <si>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</si>
  <si>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</si>
  <si>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</si>
  <si>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</si>
  <si>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</si>
  <si>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</si>
  <si>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</si>
  <si>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</si>
  <si>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</si>
  <si>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</si>
  <si>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</si>
  <si>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</si>
  <si>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</si>
  <si>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</si>
  <si>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</si>
  <si>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</si>
  <si>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</si>
  <si>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</si>
  <si>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</si>
  <si>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</si>
  <si>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</si>
  <si>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</si>
  <si>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</si>
  <si>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</si>
  <si>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</si>
  <si>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</si>
  <si>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</si>
  <si>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</si>
  <si>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</si>
  <si>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</si>
  <si>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</si>
  <si>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</si>
  <si>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</si>
  <si>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</si>
  <si>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</si>
  <si>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</si>
  <si>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</si>
  <si>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</si>
  <si>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</si>
  <si>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</si>
  <si>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</si>
  <si>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</si>
  <si>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</si>
  <si>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</si>
  <si>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</si>
  <si>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</si>
  <si>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</si>
  <si>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</si>
  <si>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</si>
  <si>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</si>
  <si>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</si>
  <si>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</si>
  <si>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</si>
  <si>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</si>
  <si>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</si>
  <si>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</si>
  <si>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</si>
  <si>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</si>
  <si>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</si>
  <si>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</si>
  <si>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</si>
  <si>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</si>
  <si>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</si>
  <si>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</si>
  <si>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</si>
  <si>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</si>
  <si>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</si>
  <si>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</si>
  <si>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</si>
  <si>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</si>
  <si>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</si>
  <si>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</si>
  <si>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</si>
  <si>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</si>
  <si>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</si>
  <si>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</si>
  <si>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</si>
  <si>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</si>
  <si>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</si>
  <si>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</si>
  <si>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</si>
  <si>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</si>
  <si>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</si>
  <si>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</si>
  <si>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</si>
  <si>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</si>
  <si>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</si>
  <si>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</si>
  <si>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</si>
  <si>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</si>
  <si>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</si>
  <si>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</si>
  <si>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</si>
  <si>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</si>
  <si>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</si>
  <si>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</si>
  <si>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</si>
  <si>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</si>
  <si>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</si>
  <si>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</si>
  <si>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</si>
  <si>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</si>
  <si>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</si>
  <si>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</si>
  <si>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</si>
  <si>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</si>
  <si>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</si>
  <si>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</si>
  <si>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</si>
  <si>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</si>
  <si>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</si>
  <si>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</si>
  <si>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</si>
  <si>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</si>
  <si>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</si>
  <si>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</si>
  <si>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</si>
  <si>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</si>
  <si>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</si>
  <si>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</si>
  <si>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</si>
  <si>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</si>
  <si>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</si>
  <si>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</si>
  <si>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</si>
  <si>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</si>
  <si>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</si>
  <si>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</si>
  <si>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</si>
  <si>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</si>
  <si>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</si>
  <si>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</si>
  <si>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</si>
  <si>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</si>
  <si>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</si>
  <si>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</si>
  <si>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</si>
  <si>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</si>
  <si>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</si>
  <si>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</si>
  <si>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</si>
  <si>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</si>
  <si>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</si>
  <si>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</si>
  <si>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</si>
  <si>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</si>
  <si>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</si>
  <si>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</si>
  <si>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</si>
  <si>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</si>
  <si>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</si>
  <si>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</si>
  <si>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</si>
  <si>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</si>
  <si>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</si>
  <si>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</si>
  <si>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</si>
  <si>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</si>
  <si>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</si>
  <si>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</si>
  <si>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</si>
  <si>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</si>
  <si>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</si>
  <si>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</si>
  <si>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</si>
  <si>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</si>
  <si>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</si>
  <si>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</si>
  <si>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</si>
  <si>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</si>
  <si>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</si>
  <si>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</si>
  <si>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</si>
  <si>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</si>
  <si>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</si>
  <si>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</si>
  <si>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</si>
  <si>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</si>
  <si>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</si>
  <si>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</si>
  <si>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</si>
  <si>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</si>
  <si>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</si>
  <si>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</si>
  <si>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</si>
  <si>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</si>
  <si>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</si>
  <si>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</si>
  <si>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</si>
  <si>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</si>
  <si>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</si>
  <si>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</si>
  <si>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</si>
  <si>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</si>
  <si>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</si>
  <si>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</si>
  <si>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</si>
  <si>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</si>
  <si>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</si>
  <si>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</si>
  <si>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</si>
  <si>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</si>
  <si>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</si>
  <si>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</si>
  <si>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</si>
  <si>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</si>
  <si>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</si>
  <si>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</si>
  <si>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</si>
  <si>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</si>
  <si>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</si>
  <si>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</si>
  <si>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</si>
  <si>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</si>
  <si>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</si>
  <si>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</si>
  <si>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</si>
  <si>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</si>
  <si>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</si>
  <si>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</si>
  <si>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</si>
  <si>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</si>
  <si>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</si>
  <si>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</si>
  <si>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</si>
  <si>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</si>
  <si>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</si>
  <si>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</si>
  <si>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</si>
  <si>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</si>
  <si>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</si>
  <si>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</si>
  <si>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</si>
  <si>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</si>
  <si>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</si>
  <si>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</si>
  <si>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</si>
  <si>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</si>
  <si>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</si>
  <si>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</si>
  <si>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</si>
  <si>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</si>
  <si>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</si>
  <si>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</si>
  <si>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</si>
  <si>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</si>
  <si>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</si>
  <si>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</si>
  <si>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</si>
  <si>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</si>
  <si>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</si>
  <si>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</si>
  <si>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</si>
  <si>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</si>
  <si>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</si>
  <si>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</si>
  <si>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</si>
  <si>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</si>
  <si>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</si>
  <si>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</si>
  <si>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</si>
  <si>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</si>
  <si>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</si>
  <si>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</si>
  <si>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</si>
  <si>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</si>
  <si>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</si>
  <si>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</si>
  <si>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</si>
  <si>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</si>
  <si>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</si>
  <si>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</si>
  <si>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</si>
  <si>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</si>
  <si>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</si>
  <si>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</si>
  <si>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</si>
  <si>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</si>
  <si>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</si>
  <si>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</si>
  <si>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</si>
  <si>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</si>
  <si>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</si>
  <si>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</si>
  <si>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</si>
  <si>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</si>
  <si>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</si>
  <si>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</si>
  <si>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</si>
  <si>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</si>
  <si>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</si>
  <si>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</si>
  <si>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</si>
  <si>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</si>
  <si>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</si>
  <si>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</si>
  <si>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</si>
  <si>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</si>
  <si>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</si>
  <si>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</si>
  <si>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</si>
  <si>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</si>
  <si>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</si>
  <si>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</si>
  <si>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</si>
  <si>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</si>
  <si>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</si>
  <si>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</si>
  <si>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</si>
  <si>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</si>
  <si>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</si>
  <si>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</si>
  <si>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</si>
  <si>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</si>
  <si>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</si>
  <si>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</si>
  <si>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</si>
  <si>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</si>
  <si>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</si>
  <si>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</si>
  <si>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</si>
  <si>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</si>
  <si>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</si>
  <si>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</si>
  <si>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</si>
  <si>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</si>
  <si>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</si>
  <si>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</si>
  <si>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</si>
  <si>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</si>
  <si>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</si>
  <si>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</si>
  <si>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</si>
  <si>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</si>
  <si>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</si>
  <si>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</si>
  <si>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</si>
  <si>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</si>
  <si>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</si>
  <si>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</si>
  <si>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</si>
  <si>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</si>
  <si>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</si>
  <si>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</si>
  <si>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</si>
  <si>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</si>
  <si>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</si>
  <si>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</si>
  <si>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</si>
  <si>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</si>
  <si>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</si>
  <si>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</si>
  <si>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</si>
  <si>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</si>
  <si>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</si>
  <si>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</si>
  <si>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</si>
  <si>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</si>
  <si>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</si>
  <si>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</si>
  <si>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</si>
  <si>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</si>
  <si>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</si>
  <si>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</si>
  <si>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</si>
  <si>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</si>
  <si>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</si>
  <si>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</si>
  <si>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</si>
  <si>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</si>
  <si>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</si>
  <si>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</si>
  <si>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</si>
  <si>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</si>
  <si>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</si>
  <si>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</si>
  <si>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</si>
  <si>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</si>
  <si>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</si>
  <si>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</si>
  <si>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</si>
  <si>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</si>
  <si>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</si>
  <si>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</si>
  <si>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</si>
  <si>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</si>
  <si>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</si>
  <si>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</si>
  <si>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</si>
  <si>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</si>
  <si>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</si>
  <si>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</si>
  <si>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</si>
  <si>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</si>
  <si>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</si>
  <si>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</si>
  <si>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</si>
  <si>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</si>
  <si>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</si>
  <si>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</si>
  <si>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</si>
  <si>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</si>
  <si>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</si>
  <si>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</si>
  <si>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</si>
  <si>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</si>
  <si>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</si>
  <si>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</si>
  <si>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</si>
  <si>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</si>
  <si>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</si>
  <si>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</si>
  <si>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</si>
  <si>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</si>
  <si>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</si>
  <si>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</si>
  <si>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</si>
  <si>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</si>
  <si>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</si>
  <si>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</si>
  <si>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</si>
  <si>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</si>
  <si>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</si>
  <si>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</si>
  <si>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</si>
  <si>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</si>
  <si>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</si>
  <si>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</si>
  <si>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</si>
  <si>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</si>
  <si>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</si>
  <si>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</si>
  <si>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</si>
  <si>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</si>
  <si>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</si>
  <si>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</si>
  <si>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</si>
  <si>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</si>
  <si>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</si>
  <si>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</si>
  <si>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</si>
  <si>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</si>
  <si>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</si>
  <si>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</si>
  <si>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</si>
  <si>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</si>
  <si>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</si>
  <si>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</si>
  <si>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</si>
  <si>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</si>
  <si>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</si>
  <si>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</si>
  <si>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</si>
  <si>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</si>
  <si>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</si>
  <si>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</si>
  <si>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</si>
  <si>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</si>
  <si>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</si>
  <si>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</si>
  <si>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</si>
  <si>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</si>
  <si>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</si>
  <si>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</si>
  <si>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</si>
  <si>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</si>
  <si>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</si>
  <si>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</si>
  <si>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</si>
  <si>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</si>
  <si>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</si>
  <si>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</si>
  <si>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</si>
  <si>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</si>
  <si>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</si>
  <si>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</si>
  <si>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</si>
  <si>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</si>
  <si>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</si>
  <si>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</si>
  <si>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</si>
  <si>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</si>
  <si>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</si>
  <si>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</si>
  <si>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</si>
  <si>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</si>
  <si>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</si>
  <si>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</si>
  <si>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</si>
  <si>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</si>
  <si>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</si>
  <si>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</si>
  <si>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</si>
  <si>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</si>
  <si>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</si>
  <si>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</si>
  <si>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</si>
  <si>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</si>
  <si>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</si>
  <si>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</si>
  <si>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</si>
  <si>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</si>
  <si>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</si>
  <si>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</si>
  <si>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</si>
  <si>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</si>
  <si>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</si>
  <si>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</si>
  <si>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</si>
  <si>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</si>
  <si>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</si>
  <si>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</si>
  <si>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</si>
  <si>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</si>
  <si>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</si>
  <si>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</si>
  <si>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</si>
  <si>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</si>
  <si>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</si>
  <si>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</si>
  <si>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</si>
  <si>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</si>
  <si>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</si>
  <si>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</si>
  <si>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</si>
  <si>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</si>
  <si>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</si>
  <si>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</si>
  <si>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</si>
  <si>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</si>
  <si>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</si>
  <si>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</si>
  <si>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</si>
  <si>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</si>
  <si>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</si>
  <si>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</si>
  <si>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</si>
  <si>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</si>
  <si>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</si>
  <si>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</si>
  <si>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</si>
  <si>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</si>
  <si>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</si>
  <si>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</si>
  <si>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</si>
  <si>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</si>
  <si>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</si>
  <si>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</si>
  <si>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</si>
  <si>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</si>
  <si>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</si>
  <si>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</si>
  <si>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</si>
  <si>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</si>
  <si>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</si>
  <si>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</si>
  <si>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</si>
  <si>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</si>
  <si>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</si>
  <si>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</si>
  <si>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</si>
  <si>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</si>
  <si>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</si>
  <si>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</si>
  <si>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</si>
  <si>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</si>
  <si>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</si>
  <si>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</si>
  <si>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</si>
  <si>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</si>
  <si>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</si>
  <si>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</si>
  <si>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</si>
  <si>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</si>
  <si>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</si>
  <si>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</si>
  <si>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</si>
  <si>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</si>
  <si>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</si>
  <si>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</si>
  <si>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</si>
  <si>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</si>
  <si>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</si>
  <si>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</si>
  <si>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</si>
  <si>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</si>
  <si>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</si>
  <si>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</si>
  <si>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</si>
  <si>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</si>
  <si>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</si>
  <si>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</si>
  <si>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</si>
  <si>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</si>
  <si>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</si>
  <si>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</si>
  <si>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</si>
  <si>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</si>
  <si>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</si>
  <si>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</si>
  <si>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</si>
  <si>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</si>
  <si>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</si>
  <si>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</si>
  <si>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</si>
  <si>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</si>
  <si>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</si>
  <si>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</si>
  <si>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</si>
  <si>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</si>
  <si>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</si>
  <si>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</si>
  <si>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</si>
  <si>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</si>
  <si>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</si>
  <si>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</si>
  <si>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</si>
  <si>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</si>
  <si>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</si>
  <si>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</si>
  <si>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</si>
  <si>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</si>
  <si>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</si>
  <si>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</si>
  <si>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</si>
  <si>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</si>
  <si>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</si>
  <si>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</si>
  <si>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</si>
  <si>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</si>
  <si>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</si>
  <si>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</si>
  <si>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</si>
  <si>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</si>
  <si>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</si>
  <si>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</si>
  <si>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</si>
  <si>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</si>
  <si>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</si>
  <si>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</si>
  <si>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</si>
  <si>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</si>
  <si>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</si>
  <si>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</si>
  <si>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</si>
  <si>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</si>
  <si>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</si>
  <si>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</si>
  <si>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</si>
  <si>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</si>
  <si>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</si>
  <si>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</si>
  <si>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</si>
  <si>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</si>
  <si>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</si>
  <si>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</si>
  <si>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</si>
  <si>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</si>
  <si>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</si>
  <si>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</si>
  <si>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</si>
  <si>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</si>
  <si>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</si>
  <si>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</si>
  <si>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</si>
  <si>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</si>
  <si>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</si>
  <si>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</si>
  <si>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</si>
  <si>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</si>
  <si>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</si>
  <si>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</si>
  <si>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</si>
  <si>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</si>
  <si>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</si>
  <si>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</si>
  <si>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</si>
  <si>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</si>
  <si>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</si>
  <si>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</si>
  <si>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</si>
  <si>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</si>
  <si>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</si>
  <si>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</si>
  <si>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</si>
  <si>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</si>
  <si>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</si>
  <si>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</si>
  <si>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</si>
  <si>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</si>
  <si>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</si>
  <si>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</si>
  <si>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</si>
  <si>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</si>
  <si>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</si>
  <si>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</si>
  <si>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</si>
  <si>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</si>
  <si>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</si>
  <si>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</si>
  <si>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</si>
  <si>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</si>
  <si>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</si>
  <si>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</si>
  <si>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</si>
  <si>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</si>
  <si>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</si>
  <si>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</si>
  <si>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</si>
  <si>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</si>
  <si>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</si>
  <si>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</si>
  <si>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</si>
  <si>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</si>
  <si>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</si>
  <si>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</si>
  <si>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</si>
  <si>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</si>
  <si>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</si>
  <si>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</si>
  <si>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</si>
  <si>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</si>
  <si>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</si>
  <si>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</si>
  <si>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</si>
  <si>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</si>
  <si>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</si>
  <si>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</si>
  <si>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</si>
  <si>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</si>
  <si>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</si>
  <si>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</si>
  <si>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</si>
  <si>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</si>
  <si>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</si>
  <si>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</si>
  <si>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</si>
  <si>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</si>
  <si>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</si>
  <si>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</si>
  <si>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</si>
  <si>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</si>
  <si>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</si>
  <si>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</si>
  <si>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</si>
  <si>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</si>
  <si>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</si>
  <si>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</si>
  <si>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</si>
  <si>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</si>
  <si>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</si>
  <si>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</si>
  <si>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</si>
  <si>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</si>
  <si>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</si>
  <si>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</si>
  <si>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</si>
  <si>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</si>
  <si>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</si>
  <si>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</si>
  <si>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</si>
  <si>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</si>
  <si>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</si>
  <si>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</si>
  <si>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</si>
  <si>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</si>
  <si>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</si>
  <si>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</si>
  <si>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</si>
  <si>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</si>
  <si>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</si>
  <si>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</si>
  <si>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</si>
  <si>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</si>
  <si>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</si>
  <si>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</si>
  <si>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</si>
  <si>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</si>
  <si>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</si>
  <si>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</si>
  <si>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</si>
  <si>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</si>
  <si>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</si>
  <si>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</si>
  <si>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</si>
  <si>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</si>
  <si>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</si>
  <si>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</si>
  <si>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</si>
  <si>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</si>
  <si>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</si>
  <si>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</si>
  <si>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</si>
  <si>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</si>
  <si>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</si>
  <si>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</si>
  <si>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</si>
  <si>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</si>
  <si>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</si>
  <si>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</si>
  <si>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</si>
  <si>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</si>
  <si>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</si>
  <si>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</si>
  <si>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</si>
  <si>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</si>
  <si>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</si>
  <si>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</si>
  <si>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</si>
  <si>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</si>
  <si>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</si>
  <si>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</si>
  <si>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</si>
  <si>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</si>
  <si>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</si>
  <si>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</si>
  <si>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</si>
  <si>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</si>
  <si>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</si>
  <si>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</si>
  <si>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</si>
  <si>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</si>
  <si>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</si>
  <si>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</si>
  <si>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</si>
  <si>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</si>
  <si>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</si>
  <si>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</si>
  <si>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</si>
  <si>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</si>
  <si>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</si>
  <si>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</si>
  <si>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</si>
  <si>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</si>
  <si>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</si>
  <si>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</si>
  <si>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</si>
  <si>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</si>
  <si>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</si>
  <si>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</si>
  <si>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</si>
  <si>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</si>
  <si>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</si>
  <si>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</si>
  <si>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</si>
  <si>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</si>
  <si>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</si>
  <si>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</si>
  <si>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</si>
  <si>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</si>
  <si>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</si>
  <si>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</si>
  <si>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</si>
  <si>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</si>
  <si>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</si>
  <si>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</si>
  <si>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</si>
  <si>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</si>
  <si>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</si>
  <si>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</si>
  <si>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</si>
  <si>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</si>
  <si>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2640</t>
  </si>
  <si>
    <t>31529732</t>
  </si>
  <si>
    <t>"Филиал ПАО "Авиационный комплекс им. С.В. Ильюшина" - Авиастар"</t>
  </si>
  <si>
    <t>7714027882</t>
  </si>
  <si>
    <t>732843001</t>
  </si>
  <si>
    <t>АГЕНТСТВО ПО РЕГУЛИРОВАНИЮ ЦЕН И ТАРИФОВ УЛЬЯНОВСКОЙ ОБЛАСТИ</t>
  </si>
  <si>
    <t>7325169757</t>
  </si>
  <si>
    <t>732501001</t>
  </si>
  <si>
    <t>26524393</t>
  </si>
  <si>
    <t>АО "АтомЭнергоСбыт"</t>
  </si>
  <si>
    <t>7704228075</t>
  </si>
  <si>
    <t>772501001</t>
  </si>
  <si>
    <t>26319988</t>
  </si>
  <si>
    <t>АО "ГНЦ НИИАР"</t>
  </si>
  <si>
    <t>7302040242</t>
  </si>
  <si>
    <t>732901001</t>
  </si>
  <si>
    <t>30373688</t>
  </si>
  <si>
    <t>АО "ГУ ЖКХ"</t>
  </si>
  <si>
    <t>5116000922</t>
  </si>
  <si>
    <t>583645001</t>
  </si>
  <si>
    <t>26381367</t>
  </si>
  <si>
    <t>АО "ДААЗ"</t>
  </si>
  <si>
    <t>7302004004</t>
  </si>
  <si>
    <t>730350001</t>
  </si>
  <si>
    <t>26360540</t>
  </si>
  <si>
    <t>АО "Завод ЖБИ 4"</t>
  </si>
  <si>
    <t>7328036730</t>
  </si>
  <si>
    <t>732801001</t>
  </si>
  <si>
    <t>26319961</t>
  </si>
  <si>
    <t>АО "Комета"</t>
  </si>
  <si>
    <t>7328020466</t>
  </si>
  <si>
    <t>26375430</t>
  </si>
  <si>
    <t>АО "Силикатчик"</t>
  </si>
  <si>
    <t>7316001236</t>
  </si>
  <si>
    <t>731601001</t>
  </si>
  <si>
    <t>28447680</t>
  </si>
  <si>
    <t>АО "Спектр-Авиа"</t>
  </si>
  <si>
    <t>7323006644</t>
  </si>
  <si>
    <t>732301001</t>
  </si>
  <si>
    <t>30435810</t>
  </si>
  <si>
    <t>АО "УКБП"</t>
  </si>
  <si>
    <t>7303005071</t>
  </si>
  <si>
    <t>26319965</t>
  </si>
  <si>
    <t>АО "Ульяновский патронный завод"</t>
  </si>
  <si>
    <t>7328500127</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</si>
  <si>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</si>
  <si>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</si>
  <si>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</si>
  <si>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</si>
  <si>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</si>
  <si>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</si>
  <si>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</si>
  <si>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</si>
  <si>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</si>
  <si>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</si>
  <si>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</si>
  <si>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26485308</t>
  </si>
  <si>
    <t>АО “РЭУ” “Самарский”</t>
  </si>
  <si>
    <t>7714783092</t>
  </si>
  <si>
    <t>631143001</t>
  </si>
  <si>
    <t>26931919</t>
  </si>
  <si>
    <t>ГУ РЦ "Восхождение"</t>
  </si>
  <si>
    <t>7321032470</t>
  </si>
  <si>
    <t>27270908</t>
  </si>
  <si>
    <t>ГУЗ "Областной противотуберкулёзный санаторий имени врача А.А. Тамарова"</t>
  </si>
  <si>
    <t>7306003763</t>
  </si>
  <si>
    <t>730601001</t>
  </si>
  <si>
    <t>06-10-2011 00:00:00</t>
  </si>
  <si>
    <t>30370886</t>
  </si>
  <si>
    <t>ГУЗ Детский противотуберкулезный санаторий "Белое Озеро"</t>
  </si>
  <si>
    <t>7311000359</t>
  </si>
  <si>
    <t>731101001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</si>
  <si>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</si>
  <si>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</si>
  <si>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</si>
  <si>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</si>
  <si>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</si>
  <si>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</si>
  <si>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</si>
  <si>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</si>
  <si>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26355818</t>
  </si>
  <si>
    <t>ЛПДС «Клин» филиал АО «ТРАНСНЕФТЬ - ДРУЖБА» «ПРУ»</t>
  </si>
  <si>
    <t>632543001</t>
  </si>
  <si>
    <t>31047224</t>
  </si>
  <si>
    <t>МБУ "Юг - Сервис"</t>
  </si>
  <si>
    <t>7313007751</t>
  </si>
  <si>
    <t>731301001</t>
  </si>
  <si>
    <t>28819822</t>
  </si>
  <si>
    <t>МБУ «Городской центр по благоустройству и озеленению г. Ульяновска»</t>
  </si>
  <si>
    <t>7326045754</t>
  </si>
  <si>
    <t>732601001</t>
  </si>
  <si>
    <t>30991982</t>
  </si>
  <si>
    <t>МКП "КОМХОЗ"</t>
  </si>
  <si>
    <t>7309006931</t>
  </si>
  <si>
    <t>730901001</t>
  </si>
  <si>
    <t>31267095</t>
  </si>
  <si>
    <t>МКП "Павловское"</t>
  </si>
  <si>
    <t>7313012906</t>
  </si>
  <si>
    <t>30947925</t>
  </si>
  <si>
    <t>МКП "Теплосервис" МО "Вешкаймское городское поселение"</t>
  </si>
  <si>
    <t>7309006836</t>
  </si>
  <si>
    <t>26461708</t>
  </si>
  <si>
    <t>МП "Ремтехсервис"</t>
  </si>
  <si>
    <t>7311006103</t>
  </si>
  <si>
    <t>26381392</t>
  </si>
  <si>
    <t>МП "Сантеплотехсервис"</t>
  </si>
  <si>
    <t>7311006061</t>
  </si>
  <si>
    <t>07-06-2006 00:00:00</t>
  </si>
  <si>
    <t>26561219</t>
  </si>
  <si>
    <t>МП "Старт"</t>
  </si>
  <si>
    <t>7310106497</t>
  </si>
  <si>
    <t>731001001</t>
  </si>
  <si>
    <t>27-01-2010 00:00:00</t>
  </si>
  <si>
    <t>30982963</t>
  </si>
  <si>
    <t>МУ "Транстехсервис"</t>
  </si>
  <si>
    <t>7311007890</t>
  </si>
  <si>
    <t>31516690</t>
  </si>
  <si>
    <t>МУ ХЭК администрации МО "Новомалыклинский район"</t>
  </si>
  <si>
    <t>7310105824</t>
  </si>
  <si>
    <t>14-09-2021 00:00:00</t>
  </si>
  <si>
    <t>29645731</t>
  </si>
  <si>
    <t>МУП "БарышЭнергоСервис"</t>
  </si>
  <si>
    <t>7309005656</t>
  </si>
  <si>
    <t>28816097</t>
  </si>
  <si>
    <t>МУП "Благоустройство"</t>
  </si>
  <si>
    <t>7313008635</t>
  </si>
  <si>
    <t>27841600</t>
  </si>
  <si>
    <t>МУП "Гортепло"</t>
  </si>
  <si>
    <t>7302003297</t>
  </si>
  <si>
    <t>730201001</t>
  </si>
  <si>
    <t>07-09-2012 00:00:00</t>
  </si>
  <si>
    <t>31047268</t>
  </si>
  <si>
    <t>МУП "Димитровградские коммунальные ресурсы"</t>
  </si>
  <si>
    <t>7302016391</t>
  </si>
  <si>
    <t>27221769</t>
  </si>
  <si>
    <t>МУП "Жилсервис"</t>
  </si>
  <si>
    <t>7321317186</t>
  </si>
  <si>
    <t>17-08-2011 00:00:00</t>
  </si>
  <si>
    <t>28798502</t>
  </si>
  <si>
    <t>МУП "Инзатеплоком"</t>
  </si>
  <si>
    <t>7306004774</t>
  </si>
  <si>
    <t>26526858</t>
  </si>
  <si>
    <t>МУП "РСУ" р.п. Карсун</t>
  </si>
  <si>
    <t>7309903709</t>
  </si>
  <si>
    <t>26375418</t>
  </si>
  <si>
    <t>МУП "Сервис"</t>
  </si>
  <si>
    <t>7311006209</t>
  </si>
  <si>
    <t>27741709</t>
  </si>
  <si>
    <t>МУП "Сурское"</t>
  </si>
  <si>
    <t>7309003183</t>
  </si>
  <si>
    <t>31-05-2012 00:00:00</t>
  </si>
  <si>
    <t>26476060</t>
  </si>
  <si>
    <t>МУП "Тепловодосервис"</t>
  </si>
  <si>
    <t>7313006236</t>
  </si>
  <si>
    <t>28822773</t>
  </si>
  <si>
    <t>МУП "Теплоком"</t>
  </si>
  <si>
    <t>7321312325</t>
  </si>
  <si>
    <t>26375415</t>
  </si>
  <si>
    <t>МУП "Чердаклыэнерго"</t>
  </si>
  <si>
    <t>7310103129</t>
  </si>
  <si>
    <t>26375411</t>
  </si>
  <si>
    <t>МУП ЖКХ МО "Октябрьское городское поселение"("Быт-Сервис")</t>
  </si>
  <si>
    <t>7310101770</t>
  </si>
  <si>
    <t>26360515</t>
  </si>
  <si>
    <t>ОАО "Криушинский судостроительно-судоремонтный завод"</t>
  </si>
  <si>
    <t>7321014311</t>
  </si>
  <si>
    <t>26319964</t>
  </si>
  <si>
    <t>ОАО "Ульяновский моторный завод"</t>
  </si>
  <si>
    <t>7326024874</t>
  </si>
  <si>
    <t>26360474</t>
  </si>
  <si>
    <t>ОАО "Элегант"</t>
  </si>
  <si>
    <t>7303004624</t>
  </si>
  <si>
    <t>31434145</t>
  </si>
  <si>
    <t>ОГАУСО "Психоневрологический интернат "Союз" в с.Бригадировка</t>
  </si>
  <si>
    <t>7310009207</t>
  </si>
  <si>
    <t>04-08-2020 00:00:00</t>
  </si>
  <si>
    <t>28861365</t>
  </si>
  <si>
    <t>ОГАУСО ДИ в г. Димитровграде</t>
  </si>
  <si>
    <t>7302011964</t>
  </si>
  <si>
    <t>30432718</t>
  </si>
  <si>
    <t>ОГАУСО ПНИ в п. Дальнее Поле</t>
  </si>
  <si>
    <t>7324000211</t>
  </si>
  <si>
    <t>732401001</t>
  </si>
  <si>
    <t>28262419</t>
  </si>
  <si>
    <t>ОГКП "Корпорация развития коммунального комплекса Ульяновской области"</t>
  </si>
  <si>
    <t>7316000218</t>
  </si>
  <si>
    <t>16-07-2013 00:00:00</t>
  </si>
  <si>
    <t>31658371</t>
  </si>
  <si>
    <t>ООО "Аврора +"</t>
  </si>
  <si>
    <t>7302030607</t>
  </si>
  <si>
    <t>31348973</t>
  </si>
  <si>
    <t>ООО "Альфаресурс"</t>
  </si>
  <si>
    <t>7321008244</t>
  </si>
  <si>
    <t>28544459</t>
  </si>
  <si>
    <t>ООО "БарышТеплоЭнергоСервис"</t>
  </si>
  <si>
    <t>7309004324</t>
  </si>
  <si>
    <t>26922845</t>
  </si>
  <si>
    <t>ООО "Газпром трансгаз Самара" (филиал Павловское линейное производственное управление магистральных газопроводов)</t>
  </si>
  <si>
    <t>6315000291</t>
  </si>
  <si>
    <t>731402001</t>
  </si>
  <si>
    <t>31022642</t>
  </si>
  <si>
    <t>ООО "ДМФ "Аврора"</t>
  </si>
  <si>
    <t>7302030371</t>
  </si>
  <si>
    <t>26360496</t>
  </si>
  <si>
    <t>ООО "Диком"</t>
  </si>
  <si>
    <t>7310007986</t>
  </si>
  <si>
    <t>31194276</t>
  </si>
  <si>
    <t>ООО "ИНТЕР-ЭНЕРГО-ТРАСТ"</t>
  </si>
  <si>
    <t>7326053466</t>
  </si>
  <si>
    <t>31517263</t>
  </si>
  <si>
    <t>ООО "Инвестиционная сервисная компания"</t>
  </si>
  <si>
    <t>7734434340</t>
  </si>
  <si>
    <t>773401001</t>
  </si>
  <si>
    <t>21-09-2021 00:00:00</t>
  </si>
  <si>
    <t>30947932</t>
  </si>
  <si>
    <t>ООО "КИТ-Энергия"</t>
  </si>
  <si>
    <t>7326055311</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</si>
  <si>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</si>
  <si>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</si>
  <si>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</si>
  <si>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</si>
  <si>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</si>
  <si>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</si>
  <si>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</si>
  <si>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</si>
  <si>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</si>
  <si>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</si>
  <si>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26604154</t>
  </si>
  <si>
    <t>ООО "Коммунальщик"</t>
  </si>
  <si>
    <t>7310106578</t>
  </si>
  <si>
    <t>15-02-2010 00:00:00</t>
  </si>
  <si>
    <t>26505139</t>
  </si>
  <si>
    <t>ООО "Комстройсервис"</t>
  </si>
  <si>
    <t>7313006420</t>
  </si>
  <si>
    <t>22-06-2009 00:00:00</t>
  </si>
  <si>
    <t>26381397</t>
  </si>
  <si>
    <t>7315905140</t>
  </si>
  <si>
    <t>28816850</t>
  </si>
  <si>
    <t>ООО "Консалтингпрофи"</t>
  </si>
  <si>
    <t>7327062569</t>
  </si>
  <si>
    <t>732701001</t>
  </si>
  <si>
    <t>31-10-2023 00:00:00</t>
  </si>
  <si>
    <t>28819574</t>
  </si>
  <si>
    <t>ООО "Континент"</t>
  </si>
  <si>
    <t>7325131513</t>
  </si>
  <si>
    <t>28136693</t>
  </si>
  <si>
    <t>ООО "НИИАР-ГЕНЕРАЦИЯ"</t>
  </si>
  <si>
    <t>7329008990</t>
  </si>
  <si>
    <t>27850760</t>
  </si>
  <si>
    <t>ООО "РТС "Репина"</t>
  </si>
  <si>
    <t>7326040516</t>
  </si>
  <si>
    <t>26360469</t>
  </si>
  <si>
    <t>ООО "Ресурс"</t>
  </si>
  <si>
    <t>7302027033</t>
  </si>
  <si>
    <t>28447703</t>
  </si>
  <si>
    <t>ООО "СУТЭК"</t>
  </si>
  <si>
    <t>7321318567</t>
  </si>
  <si>
    <t>31205611</t>
  </si>
  <si>
    <t>ООО "Север Газ"</t>
  </si>
  <si>
    <t>7325159244</t>
  </si>
  <si>
    <t>31528044</t>
  </si>
  <si>
    <t>ООО "Симбирскснабсервис"</t>
  </si>
  <si>
    <t>7321007392</t>
  </si>
  <si>
    <t>26506174</t>
  </si>
  <si>
    <t>ООО "Снабсервис"</t>
  </si>
  <si>
    <t>7306039833</t>
  </si>
  <si>
    <t>30847530</t>
  </si>
  <si>
    <t>ООО "ТеплоГазСервис"</t>
  </si>
  <si>
    <t>7327078738</t>
  </si>
  <si>
    <t>28876339</t>
  </si>
  <si>
    <t>ООО "Теплогенерирующая компания"</t>
  </si>
  <si>
    <t>7327071644</t>
  </si>
  <si>
    <t>30432724</t>
  </si>
  <si>
    <t>ООО "УАЗ"</t>
  </si>
  <si>
    <t>7327077188</t>
  </si>
  <si>
    <t>28982962</t>
  </si>
  <si>
    <t>ООО "Управление домами"</t>
  </si>
  <si>
    <t>7302030710</t>
  </si>
  <si>
    <t>27814241</t>
  </si>
  <si>
    <t>ООО "ЭКО-Сервис"</t>
  </si>
  <si>
    <t>7306042177</t>
  </si>
  <si>
    <t>09-08-2012 00:00:00</t>
  </si>
  <si>
    <t>30391745</t>
  </si>
  <si>
    <t>ООО "Элегант"</t>
  </si>
  <si>
    <t>7325128528</t>
  </si>
  <si>
    <t>31517348</t>
  </si>
  <si>
    <t>ООО "Энергоресурс"</t>
  </si>
  <si>
    <t>7309009019</t>
  </si>
  <si>
    <t>22-09-2021 00:00:00</t>
  </si>
  <si>
    <t>30850807</t>
  </si>
  <si>
    <t>ООО ПФ "Инзенский ДОЗ"</t>
  </si>
  <si>
    <t>7306000113</t>
  </si>
  <si>
    <t>31456789</t>
  </si>
  <si>
    <t>ООО Теплоснабжающая компания «Азбука быта»</t>
  </si>
  <si>
    <t>4345506148</t>
  </si>
  <si>
    <t>434501001</t>
  </si>
  <si>
    <t>28816106</t>
  </si>
  <si>
    <t>ООО УК "Авион"</t>
  </si>
  <si>
    <t>7326036774</t>
  </si>
  <si>
    <t>26809182</t>
  </si>
  <si>
    <t>ТСЖ "Наш дом"</t>
  </si>
  <si>
    <t>7310104563</t>
  </si>
  <si>
    <t>26506229</t>
  </si>
  <si>
    <t>УМУП "Городская теплосеть"</t>
  </si>
  <si>
    <t>7303026603</t>
  </si>
  <si>
    <t>26360477</t>
  </si>
  <si>
    <t>УМУП "Городской теплосервис"</t>
  </si>
  <si>
    <t>7303009485</t>
  </si>
  <si>
    <t>26360536</t>
  </si>
  <si>
    <t>УМУП "Теплоком"</t>
  </si>
  <si>
    <t>7328008028</t>
  </si>
  <si>
    <t>26319974</t>
  </si>
  <si>
    <t>ФГБОУ ВО УИ ГА</t>
  </si>
  <si>
    <t>7303002000</t>
  </si>
  <si>
    <t>30903763</t>
  </si>
  <si>
    <t>ФГБУ "ЦЖКУ" МИНОБОРОНЫ РОССИИ</t>
  </si>
  <si>
    <t>7729314745</t>
  </si>
  <si>
    <t>770101001</t>
  </si>
  <si>
    <t>26360480</t>
  </si>
  <si>
    <t>ФКУ СИЗО-3 УФСИН России по Ульяновский области</t>
  </si>
  <si>
    <t>7306004118</t>
  </si>
  <si>
    <t>28-12-2005 00:00:00</t>
  </si>
  <si>
    <t>26359393</t>
  </si>
  <si>
    <t>Филиал "Ульяновский" ПАО "Т Плюс"</t>
  </si>
  <si>
    <t>6315376946</t>
  </si>
  <si>
    <t>732743001</t>
  </si>
  <si>
    <t>30914574</t>
  </si>
  <si>
    <t>Филиал ФГБУ "ЦЖКУ" МИНОБОРОНЫ РОССИИ (по ЦВО)</t>
  </si>
  <si>
    <t>667043001</t>
  </si>
  <si>
    <t>26644830</t>
  </si>
  <si>
    <t>OOO "УК ЖКК "Мулловка"</t>
  </si>
  <si>
    <t>7310104436</t>
  </si>
  <si>
    <t>25-04-2008 00:00:00</t>
  </si>
  <si>
    <t>26375482</t>
  </si>
  <si>
    <t>АО "Симбирские курорты"</t>
  </si>
  <si>
    <t>7325035721</t>
  </si>
  <si>
    <t>06-08-2004 00:00:00</t>
  </si>
  <si>
    <t>28033183</t>
  </si>
  <si>
    <t>АО "Тепличное"</t>
  </si>
  <si>
    <t>7327063643</t>
  </si>
  <si>
    <t>26476446</t>
  </si>
  <si>
    <t>ЗАО "Мотор"</t>
  </si>
  <si>
    <t>7322004490</t>
  </si>
  <si>
    <t>28932703</t>
  </si>
  <si>
    <t>ИП Гришин О.А.</t>
  </si>
  <si>
    <t>731201403521</t>
  </si>
  <si>
    <t>26646520</t>
  </si>
  <si>
    <t>ИП КФХ Латыпов Н.С.</t>
  </si>
  <si>
    <t>731400008117</t>
  </si>
  <si>
    <t>20-03-2006 00:00:00</t>
  </si>
  <si>
    <t>26375441</t>
  </si>
  <si>
    <t>ИП Чуваев П.К.</t>
  </si>
  <si>
    <t>731800606489</t>
  </si>
  <si>
    <t>28858658</t>
  </si>
  <si>
    <t>Исправительная колония №3 УФСИН России по Ульяновской области</t>
  </si>
  <si>
    <t>7302014651</t>
  </si>
  <si>
    <t>19-12-2014 00:00:00</t>
  </si>
  <si>
    <t>30854193</t>
  </si>
  <si>
    <t>МАУ «Управление муниципальным хозяйством»</t>
  </si>
  <si>
    <t>7329012958</t>
  </si>
  <si>
    <t>28858632</t>
  </si>
  <si>
    <t>МКП "Белогорское коммунальное хозяйство"</t>
  </si>
  <si>
    <t>7321319345</t>
  </si>
  <si>
    <t>31310155</t>
  </si>
  <si>
    <t>МКП "Цильна"</t>
  </si>
  <si>
    <t>7321006945</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</si>
  <si>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</si>
  <si>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</si>
  <si>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</si>
  <si>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</si>
  <si>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</si>
  <si>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</si>
  <si>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</si>
  <si>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</si>
  <si>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</si>
  <si>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</si>
  <si>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</si>
  <si>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</si>
  <si>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</si>
  <si>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</si>
  <si>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</si>
  <si>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</si>
  <si>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20-10-2023 00:00:00</t>
  </si>
  <si>
    <t>30915201</t>
  </si>
  <si>
    <t>МУП "ВОДОСНАБЖЕНИЕ" МО "Майнский район" Ульяновской области</t>
  </si>
  <si>
    <t>7309006508</t>
  </si>
  <si>
    <t>31507320</t>
  </si>
  <si>
    <t>МУП "Вешкаймское водоснабжение"</t>
  </si>
  <si>
    <t>7309008946</t>
  </si>
  <si>
    <t>21-07-2021 00:00:00</t>
  </si>
  <si>
    <t>31039156</t>
  </si>
  <si>
    <t>МУП "Водоканал"</t>
  </si>
  <si>
    <t>7309006917</t>
  </si>
  <si>
    <t>27568771</t>
  </si>
  <si>
    <t>7321317228</t>
  </si>
  <si>
    <t>26375382</t>
  </si>
  <si>
    <t>МУП "Водосервис"</t>
  </si>
  <si>
    <t>7308005068</t>
  </si>
  <si>
    <t>730801001</t>
  </si>
  <si>
    <t>26545908</t>
  </si>
  <si>
    <t>МУП "ДОЛИНА"</t>
  </si>
  <si>
    <t>7311006978</t>
  </si>
  <si>
    <t>25-12-2007 00:00:00</t>
  </si>
  <si>
    <t>26375385</t>
  </si>
  <si>
    <t>МУП "Еделевское ЖКХ"</t>
  </si>
  <si>
    <t>7308005420</t>
  </si>
  <si>
    <t>30356052</t>
  </si>
  <si>
    <t>МУП "ЖИЛСЕРВИС" МО "Вешкаймский район"</t>
  </si>
  <si>
    <t>7309005712</t>
  </si>
  <si>
    <t>26375400</t>
  </si>
  <si>
    <t>МУП "ЖКХ Выровское"</t>
  </si>
  <si>
    <t>7309903931</t>
  </si>
  <si>
    <t>15-09-2023 00:00:00</t>
  </si>
  <si>
    <t>26375474</t>
  </si>
  <si>
    <t>МУП "ЖКХ с. Крестово-Городище"</t>
  </si>
  <si>
    <t>7323007101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</si>
  <si>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</si>
  <si>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</si>
  <si>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</si>
  <si>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</si>
  <si>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</si>
  <si>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</si>
  <si>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</si>
  <si>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</si>
  <si>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</si>
  <si>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</si>
  <si>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</si>
  <si>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</si>
  <si>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</si>
  <si>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26461712</t>
  </si>
  <si>
    <t>МУП "Исток"</t>
  </si>
  <si>
    <t>7306039992</t>
  </si>
  <si>
    <t>26375402</t>
  </si>
  <si>
    <t>7309904251</t>
  </si>
  <si>
    <t>30796186</t>
  </si>
  <si>
    <t>7313010218</t>
  </si>
  <si>
    <t>28462064</t>
  </si>
  <si>
    <t>МУП "Ишеевское"</t>
  </si>
  <si>
    <t>7321319095</t>
  </si>
  <si>
    <t>26375423</t>
  </si>
  <si>
    <t>МУП "Коромысловское ЖКХ"</t>
  </si>
  <si>
    <t>7313004246</t>
  </si>
  <si>
    <t>26476526</t>
  </si>
  <si>
    <t>МУП "Нива"</t>
  </si>
  <si>
    <t>7306040758</t>
  </si>
  <si>
    <t>26375399</t>
  </si>
  <si>
    <t>МУП "Родник"</t>
  </si>
  <si>
    <t>7309903875</t>
  </si>
  <si>
    <t>31312981</t>
  </si>
  <si>
    <t>МУП "Родник" Астрадамовское сельское поселение Сурского района Ульяновской области</t>
  </si>
  <si>
    <t>7309006762</t>
  </si>
  <si>
    <t>26375386</t>
  </si>
  <si>
    <t>МУП "Спешневское ЖКХ"</t>
  </si>
  <si>
    <t>7308005438</t>
  </si>
  <si>
    <t>26461710</t>
  </si>
  <si>
    <t>МУП "Центр"</t>
  </si>
  <si>
    <t>7306040229</t>
  </si>
  <si>
    <t>31409408</t>
  </si>
  <si>
    <t>МУП "Чердаклыводоканал"</t>
  </si>
  <si>
    <t>7329032506</t>
  </si>
  <si>
    <t>31435551</t>
  </si>
  <si>
    <t>МУП «Аква» МО Игнатовское городское поселение Майнского района Ульяновской области</t>
  </si>
  <si>
    <t>7309008720</t>
  </si>
  <si>
    <t>31578762</t>
  </si>
  <si>
    <t>МУП «Кузоватовское коммунальное хозяйство» МО «Кузоватовский район» Ульяновской области</t>
  </si>
  <si>
    <t>7313014759</t>
  </si>
  <si>
    <t>13-04-2022 00:00:00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</si>
  <si>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</si>
  <si>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</si>
  <si>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</si>
  <si>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</si>
  <si>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</si>
  <si>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</si>
  <si>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</si>
  <si>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</si>
  <si>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</si>
  <si>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</si>
  <si>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</si>
  <si>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</si>
  <si>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</si>
  <si>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</si>
  <si>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</si>
  <si>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</si>
  <si>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27271264</t>
  </si>
  <si>
    <t>МУП ЖКХ "Старомаклаушинское"</t>
  </si>
  <si>
    <t>7309906379</t>
  </si>
  <si>
    <t>13-09-2011 00:00:00</t>
  </si>
  <si>
    <t>26472996</t>
  </si>
  <si>
    <t>МУП ЖКХ МО Глотовское городское поселение</t>
  </si>
  <si>
    <t>7306037956</t>
  </si>
  <si>
    <t>26375421</t>
  </si>
  <si>
    <t>МУП Услуги</t>
  </si>
  <si>
    <t>7311006375</t>
  </si>
  <si>
    <t>26381401</t>
  </si>
  <si>
    <t>ОГАУСО СРЦ ИМ. ЧУЧКАЛОВА</t>
  </si>
  <si>
    <t>7321020403</t>
  </si>
  <si>
    <t>26468195</t>
  </si>
  <si>
    <t>31226884</t>
  </si>
  <si>
    <t>ООО "АКВА ПЛЮС"</t>
  </si>
  <si>
    <t>7329028683</t>
  </si>
  <si>
    <t>26375378</t>
  </si>
  <si>
    <t>ООО "Барышская водяная компания"</t>
  </si>
  <si>
    <t>7306037586</t>
  </si>
  <si>
    <t>26541422</t>
  </si>
  <si>
    <t>ООО "Водолей"</t>
  </si>
  <si>
    <t>7310106419</t>
  </si>
  <si>
    <t>731200100</t>
  </si>
  <si>
    <t>30-12-2009 00:00:00</t>
  </si>
  <si>
    <t>26375381</t>
  </si>
  <si>
    <t>7306038036</t>
  </si>
  <si>
    <t>27506381</t>
  </si>
  <si>
    <t>ООО "Водстрой"</t>
  </si>
  <si>
    <t>7310103626</t>
  </si>
  <si>
    <t>731801001</t>
  </si>
  <si>
    <t>28435504</t>
  </si>
  <si>
    <t>ООО "Возрождение"</t>
  </si>
  <si>
    <t>7321318214</t>
  </si>
  <si>
    <t>28858280</t>
  </si>
  <si>
    <t>ООО "ЖКХ Новоселки"</t>
  </si>
  <si>
    <t>7329015250</t>
  </si>
  <si>
    <t>17-12-2014 00:00:00</t>
  </si>
  <si>
    <t>26473611</t>
  </si>
  <si>
    <t>ООО "Жилхозкооперация"</t>
  </si>
  <si>
    <t>7310103640</t>
  </si>
  <si>
    <t>25-12-2009 00:00:00</t>
  </si>
  <si>
    <t>31495527</t>
  </si>
  <si>
    <t>ООО "Исток"</t>
  </si>
  <si>
    <t>7321014801</t>
  </si>
  <si>
    <t>28462001</t>
  </si>
  <si>
    <t>7325123262</t>
  </si>
  <si>
    <t>30438447</t>
  </si>
  <si>
    <t>ООО "Источник"</t>
  </si>
  <si>
    <t>7321001224</t>
  </si>
  <si>
    <t>30898578</t>
  </si>
  <si>
    <t>ООО "Монтажстрой"</t>
  </si>
  <si>
    <t>7306006274</t>
  </si>
  <si>
    <t>31460541</t>
  </si>
  <si>
    <t>ООО "Муниципальная управляющая компания"</t>
  </si>
  <si>
    <t>7309006829</t>
  </si>
  <si>
    <t>12-01-2021 00:00:00</t>
  </si>
  <si>
    <t>27681895</t>
  </si>
  <si>
    <t>ООО "Недрозапас"</t>
  </si>
  <si>
    <t>7328062882</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</si>
  <si>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</si>
  <si>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</si>
  <si>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</si>
  <si>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</si>
  <si>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</si>
  <si>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</si>
  <si>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</si>
  <si>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</si>
  <si>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</si>
  <si>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</si>
  <si>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</si>
  <si>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</si>
  <si>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</si>
  <si>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</si>
  <si>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</si>
  <si>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</si>
  <si>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</si>
  <si>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</si>
  <si>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</si>
  <si>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</si>
  <si>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</si>
  <si>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</si>
  <si>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</si>
  <si>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</si>
  <si>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</si>
  <si>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</si>
  <si>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</si>
  <si>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</si>
  <si>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</si>
  <si>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</si>
  <si>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</si>
  <si>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</si>
  <si>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</si>
  <si>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</si>
  <si>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</si>
  <si>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</si>
  <si>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</si>
  <si>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</si>
  <si>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</si>
  <si>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</si>
  <si>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</si>
  <si>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</si>
  <si>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</si>
  <si>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</si>
  <si>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</si>
  <si>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</si>
  <si>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</si>
  <si>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</si>
  <si>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</si>
  <si>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18-12-2015 00:00:00</t>
  </si>
  <si>
    <t>28501036</t>
  </si>
  <si>
    <t>ООО "Строитель"</t>
  </si>
  <si>
    <t>7325108200</t>
  </si>
  <si>
    <t>26647129</t>
  </si>
  <si>
    <t>ООО "Сурскжилкомхоз"</t>
  </si>
  <si>
    <t>7309903018</t>
  </si>
  <si>
    <t>18-01-2006 00:00:00</t>
  </si>
  <si>
    <t>26647134</t>
  </si>
  <si>
    <t>ООО "Тимирязевское"</t>
  </si>
  <si>
    <t>7321316143</t>
  </si>
  <si>
    <t>13-09-2010 00:00:00</t>
  </si>
  <si>
    <t>29648882</t>
  </si>
  <si>
    <t>ООО "УК "Жилкомсервис"</t>
  </si>
  <si>
    <t>7325131023</t>
  </si>
  <si>
    <t>27627166</t>
  </si>
  <si>
    <t>ООО "УЛЬЯНОВСКОБЛВОДОКАНАЛ"</t>
  </si>
  <si>
    <t>7728778215</t>
  </si>
  <si>
    <t>732945001</t>
  </si>
  <si>
    <t>19-07-2011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</si>
  <si>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</si>
  <si>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</si>
  <si>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</si>
  <si>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</si>
  <si>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</si>
  <si>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</si>
  <si>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</si>
  <si>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</si>
  <si>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</si>
  <si>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</si>
  <si>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31509317</t>
  </si>
  <si>
    <t>Общество с ограниченной ответственностью "Поволжская водная компания"</t>
  </si>
  <si>
    <t>7328107149</t>
  </si>
  <si>
    <t>05-08-2021 00:00:00</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</si>
  <si>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</si>
  <si>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</si>
  <si>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</si>
  <si>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</si>
  <si>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</si>
  <si>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</si>
  <si>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</si>
  <si>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</si>
  <si>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</si>
  <si>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</si>
  <si>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</si>
  <si>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</si>
  <si>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</si>
  <si>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</si>
  <si>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</si>
  <si>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</si>
  <si>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</si>
  <si>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</si>
  <si>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</si>
  <si>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</si>
  <si>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</si>
  <si>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</si>
  <si>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</si>
  <si>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</si>
  <si>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</si>
  <si>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</si>
  <si>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</si>
  <si>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</si>
  <si>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</si>
  <si>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</si>
  <si>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</si>
  <si>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</si>
  <si>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26375444</t>
  </si>
  <si>
    <t>ФКУ ИК-2 УФСИН России по Ульяновской области</t>
  </si>
  <si>
    <t>7321020410</t>
  </si>
  <si>
    <t>31361533</t>
  </si>
  <si>
    <t>Филиал "Ульяновская дамба" ФГБУ "Центррегионводхоз"</t>
  </si>
  <si>
    <t>5008028127</t>
  </si>
  <si>
    <t>30383265</t>
  </si>
  <si>
    <t>АО "Корпорация развития Ульяновской области"</t>
  </si>
  <si>
    <t>7325081245</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</si>
  <si>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</si>
  <si>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</si>
  <si>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</si>
  <si>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</si>
  <si>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</si>
  <si>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</si>
  <si>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</si>
  <si>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</si>
  <si>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</si>
  <si>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</si>
  <si>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</si>
  <si>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</si>
  <si>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</si>
  <si>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</si>
  <si>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</si>
  <si>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</si>
  <si>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</si>
  <si>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</si>
  <si>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</si>
  <si>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</si>
  <si>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</si>
  <si>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</si>
  <si>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</si>
  <si>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</si>
  <si>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</si>
  <si>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</si>
  <si>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</si>
  <si>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</si>
  <si>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</si>
  <si>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</si>
  <si>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26544602</t>
  </si>
  <si>
    <t>ООО  "Гео-Сервис"</t>
  </si>
  <si>
    <t>7327051359</t>
  </si>
  <si>
    <t>31708309</t>
  </si>
  <si>
    <t>ООО  "ПРЕМИУМ ПРОЕКТ"</t>
  </si>
  <si>
    <t>7328078642</t>
  </si>
  <si>
    <t>27903120</t>
  </si>
  <si>
    <t>ООО "Благо"</t>
  </si>
  <si>
    <t>7302024177</t>
  </si>
  <si>
    <t>30919264</t>
  </si>
  <si>
    <t>ООО "Горкомхоз"</t>
  </si>
  <si>
    <t>7328069510</t>
  </si>
  <si>
    <t>31708408</t>
  </si>
  <si>
    <t>ООО "ДАНН-СЕРВИС"</t>
  </si>
  <si>
    <t>7328081998</t>
  </si>
  <si>
    <t>31708334</t>
  </si>
  <si>
    <t>ООО "Зеленый город"</t>
  </si>
  <si>
    <t>7328085449</t>
  </si>
  <si>
    <t>26421971</t>
  </si>
  <si>
    <t>ООО "Контракт плюс"</t>
  </si>
  <si>
    <t>7325033724</t>
  </si>
  <si>
    <t>31708357</t>
  </si>
  <si>
    <t>ООО "Красная Стрела"</t>
  </si>
  <si>
    <t>7328080271</t>
  </si>
  <si>
    <t>31381000</t>
  </si>
  <si>
    <t>ООО "Межрегиональная Экологическая Компания"</t>
  </si>
  <si>
    <t>6318020112</t>
  </si>
  <si>
    <t>631801001</t>
  </si>
  <si>
    <t>31269516</t>
  </si>
  <si>
    <t>ООО "ПрофЭко"</t>
  </si>
  <si>
    <t>7327049462</t>
  </si>
  <si>
    <t>26382764</t>
  </si>
  <si>
    <t>ООО "Современные экологические технологии"</t>
  </si>
  <si>
    <t>7302023790</t>
  </si>
  <si>
    <t>28447653</t>
  </si>
  <si>
    <t>ООО "УК Экостандарт"</t>
  </si>
  <si>
    <t>7328073933</t>
  </si>
  <si>
    <t>26644534</t>
  </si>
  <si>
    <t>ООО "Уют"</t>
  </si>
  <si>
    <t>7313006109</t>
  </si>
  <si>
    <t>26382768</t>
  </si>
  <si>
    <t>ООО "Центр экологических технологий"</t>
  </si>
  <si>
    <t>7325042140</t>
  </si>
  <si>
    <t>31180148</t>
  </si>
  <si>
    <t>ООО "Экосистема"</t>
  </si>
  <si>
    <t>7325145146</t>
  </si>
  <si>
    <t>NSRF</t>
  </si>
  <si>
    <t>MR_NAME</t>
  </si>
  <si>
    <t>OKTMO_MR_NAME</t>
  </si>
  <si>
    <t>MO_NAME</t>
  </si>
  <si>
    <t>OKTMO_NAME</t>
  </si>
  <si>
    <t>TYPE</t>
  </si>
  <si>
    <t>MR_ID</t>
  </si>
  <si>
    <t>73602000</t>
  </si>
  <si>
    <t>муниципальный район</t>
  </si>
  <si>
    <t>городское поселение, в состав которого входит поселок</t>
  </si>
  <si>
    <t>Должниковское</t>
  </si>
  <si>
    <t>73602408</t>
  </si>
  <si>
    <t>сельское поселение</t>
  </si>
  <si>
    <t>Лапшаурское</t>
  </si>
  <si>
    <t>73602412</t>
  </si>
  <si>
    <t>Папузинское</t>
  </si>
  <si>
    <t>73602425</t>
  </si>
  <si>
    <t>Сосновоборское</t>
  </si>
  <si>
    <t>73602405</t>
  </si>
  <si>
    <t>73604000</t>
  </si>
  <si>
    <t>городское поселение, в состав которого входит город</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</si>
  <si>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</si>
  <si>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</si>
  <si>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</si>
  <si>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</si>
  <si>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</si>
  <si>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</si>
  <si>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</si>
  <si>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</si>
  <si>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</si>
  <si>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</si>
  <si>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</si>
  <si>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</si>
  <si>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</si>
  <si>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</si>
  <si>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</si>
  <si>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</si>
  <si>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</si>
  <si>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73607000</t>
  </si>
  <si>
    <t>Бекетовское</t>
  </si>
  <si>
    <t>73607410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</si>
  <si>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</si>
  <si>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</si>
  <si>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</si>
  <si>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</si>
  <si>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</si>
  <si>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</si>
  <si>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</si>
  <si>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</si>
  <si>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</si>
  <si>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</si>
  <si>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</si>
  <si>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73610000</t>
  </si>
  <si>
    <t>Валгусское</t>
  </si>
  <si>
    <t>73610425</t>
  </si>
  <si>
    <t>Глотовское городское поселение</t>
  </si>
  <si>
    <t>73610158</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</si>
  <si>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</si>
  <si>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</si>
  <si>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</si>
  <si>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</si>
  <si>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</si>
  <si>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</si>
  <si>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</si>
  <si>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</si>
  <si>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</si>
  <si>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</si>
  <si>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</si>
  <si>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</si>
  <si>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73614000</t>
  </si>
  <si>
    <t>Большепоселковское</t>
  </si>
  <si>
    <t>73614425</t>
  </si>
  <si>
    <t>Вальдиватское</t>
  </si>
  <si>
    <t>73614430</t>
  </si>
  <si>
    <t>Горенское</t>
  </si>
  <si>
    <t>73614470</t>
  </si>
  <si>
    <t>Новопогореловское</t>
  </si>
  <si>
    <t>73614450</t>
  </si>
  <si>
    <t>Сосновское</t>
  </si>
  <si>
    <t>73614455</t>
  </si>
  <si>
    <t>Урено-Карлинское</t>
  </si>
  <si>
    <t>73614480</t>
  </si>
  <si>
    <t>73616000</t>
  </si>
  <si>
    <t>Безводовское</t>
  </si>
  <si>
    <t>73616410</t>
  </si>
  <si>
    <t>Еделевское</t>
  </si>
  <si>
    <t>73616420</t>
  </si>
  <si>
    <t>Коромысловское</t>
  </si>
  <si>
    <t>73616430</t>
  </si>
  <si>
    <t>Лесоматюнинское</t>
  </si>
  <si>
    <t>73616445</t>
  </si>
  <si>
    <t>Спешневское</t>
  </si>
  <si>
    <t>73616465</t>
  </si>
  <si>
    <t>73620000</t>
  </si>
  <si>
    <t>Анненковское</t>
  </si>
  <si>
    <t>73620415</t>
  </si>
  <si>
    <t>Выровское</t>
  </si>
  <si>
    <t>73620420</t>
  </si>
  <si>
    <t>Гимовское</t>
  </si>
  <si>
    <t>73620455</t>
  </si>
  <si>
    <t>Игнатовское городское поселение</t>
  </si>
  <si>
    <t>73620158</t>
  </si>
  <si>
    <t>Старомаклаушинское</t>
  </si>
  <si>
    <t>73620460</t>
  </si>
  <si>
    <t>Тагайское</t>
  </si>
  <si>
    <t>73620470</t>
  </si>
  <si>
    <t>Мелекесский муниципальный район</t>
  </si>
  <si>
    <t>73622000</t>
  </si>
  <si>
    <t>Лебяжинское</t>
  </si>
  <si>
    <t>73622430</t>
  </si>
  <si>
    <t>Мулловское городское поселение</t>
  </si>
  <si>
    <t>73622153</t>
  </si>
  <si>
    <t>Николочеремшанское</t>
  </si>
  <si>
    <t>73622441</t>
  </si>
  <si>
    <t>60</t>
  </si>
  <si>
    <t>Новомайнское городское поселение</t>
  </si>
  <si>
    <t>73622160</t>
  </si>
  <si>
    <t>61</t>
  </si>
  <si>
    <t>Новоселкинское</t>
  </si>
  <si>
    <t>73622425</t>
  </si>
  <si>
    <t>62</t>
  </si>
  <si>
    <t>Рязановское</t>
  </si>
  <si>
    <t>73622456</t>
  </si>
  <si>
    <t>63</t>
  </si>
  <si>
    <t>Старосахчинское</t>
  </si>
  <si>
    <t>73622460</t>
  </si>
  <si>
    <t>64</t>
  </si>
  <si>
    <t>Тиинское</t>
  </si>
  <si>
    <t>73622465</t>
  </si>
  <si>
    <t>65</t>
  </si>
  <si>
    <t>73625000</t>
  </si>
  <si>
    <t>Барановское</t>
  </si>
  <si>
    <t>73625415</t>
  </si>
  <si>
    <t>Головинское</t>
  </si>
  <si>
    <t>73625425</t>
  </si>
  <si>
    <t>67</t>
  </si>
  <si>
    <t>Дубровское</t>
  </si>
  <si>
    <t>73625435</t>
  </si>
  <si>
    <t>Канадейское</t>
  </si>
  <si>
    <t>73625439</t>
  </si>
  <si>
    <t>69</t>
  </si>
  <si>
    <t>70</t>
  </si>
  <si>
    <t>Никулинское</t>
  </si>
  <si>
    <t>73625445</t>
  </si>
  <si>
    <t>72</t>
  </si>
  <si>
    <t>Поспеловское</t>
  </si>
  <si>
    <t>73625455</t>
  </si>
  <si>
    <t>73</t>
  </si>
  <si>
    <t>Славкинское</t>
  </si>
  <si>
    <t>73625465</t>
  </si>
  <si>
    <t>74</t>
  </si>
  <si>
    <t>Сухотерешанское</t>
  </si>
  <si>
    <t>73625470</t>
  </si>
  <si>
    <t>75</t>
  </si>
  <si>
    <t>Новомалыклинский муниципальный район</t>
  </si>
  <si>
    <t>73627000</t>
  </si>
  <si>
    <t>Высококолковское</t>
  </si>
  <si>
    <t>73627420</t>
  </si>
  <si>
    <t>76</t>
  </si>
  <si>
    <t>77</t>
  </si>
  <si>
    <t>Новомалыклинское</t>
  </si>
  <si>
    <t>73627450</t>
  </si>
  <si>
    <t>78</t>
  </si>
  <si>
    <t>Новочеремшанское</t>
  </si>
  <si>
    <t>73627452</t>
  </si>
  <si>
    <t>79</t>
  </si>
  <si>
    <t>Среднесантимирское сельское поселение</t>
  </si>
  <si>
    <t>73627460</t>
  </si>
  <si>
    <t>80</t>
  </si>
  <si>
    <t>Среднеякушкинское</t>
  </si>
  <si>
    <t>73627462</t>
  </si>
  <si>
    <t>81</t>
  </si>
  <si>
    <t>Новоспасский муниципальный район</t>
  </si>
  <si>
    <t>73629000</t>
  </si>
  <si>
    <t>Коптевское</t>
  </si>
  <si>
    <t>73629410</t>
  </si>
  <si>
    <t>82</t>
  </si>
  <si>
    <t>Красносельское</t>
  </si>
  <si>
    <t>73629440</t>
  </si>
  <si>
    <t>83</t>
  </si>
  <si>
    <t>84</t>
  </si>
  <si>
    <t>Новоспасское городское поселение</t>
  </si>
  <si>
    <t>73629151</t>
  </si>
  <si>
    <t>85</t>
  </si>
  <si>
    <t>Садовское</t>
  </si>
  <si>
    <t>73629450</t>
  </si>
  <si>
    <t>86</t>
  </si>
  <si>
    <t>Троицкосунгурское</t>
  </si>
  <si>
    <t>73629480</t>
  </si>
  <si>
    <t>87</t>
  </si>
  <si>
    <t>Фабричновыселковское</t>
  </si>
  <si>
    <t>73629485</t>
  </si>
  <si>
    <t>88</t>
  </si>
  <si>
    <t>73632000</t>
  </si>
  <si>
    <t>Баклушинское</t>
  </si>
  <si>
    <t>73632405</t>
  </si>
  <si>
    <t>89</t>
  </si>
  <si>
    <t>90</t>
  </si>
  <si>
    <t>Пичеурское</t>
  </si>
  <si>
    <t>73632425</t>
  </si>
  <si>
    <t>92</t>
  </si>
  <si>
    <t>Холстовское</t>
  </si>
  <si>
    <t>73632440</t>
  </si>
  <si>
    <t>93</t>
  </si>
  <si>
    <t>Шаховское</t>
  </si>
  <si>
    <t>73632450</t>
  </si>
  <si>
    <t>94</t>
  </si>
  <si>
    <t>Шмалакское</t>
  </si>
  <si>
    <t>73632435</t>
  </si>
  <si>
    <t>95</t>
  </si>
  <si>
    <t>Радищевский муниципальный район</t>
  </si>
  <si>
    <t>73634000</t>
  </si>
  <si>
    <t>Дмитриевское</t>
  </si>
  <si>
    <t>73634420</t>
  </si>
  <si>
    <t>96</t>
  </si>
  <si>
    <t>Калиновское</t>
  </si>
  <si>
    <t>73634425</t>
  </si>
  <si>
    <t>97</t>
  </si>
  <si>
    <t>Октябрьское</t>
  </si>
  <si>
    <t>73634440</t>
  </si>
  <si>
    <t>98</t>
  </si>
  <si>
    <t>Ореховское</t>
  </si>
  <si>
    <t>73634445</t>
  </si>
  <si>
    <t>99</t>
  </si>
  <si>
    <t>100</t>
  </si>
  <si>
    <t>Радищевское городское поселение</t>
  </si>
  <si>
    <t>73634151</t>
  </si>
  <si>
    <t>101</t>
  </si>
  <si>
    <t>73636000</t>
  </si>
  <si>
    <t>Елаурское</t>
  </si>
  <si>
    <t>73636440</t>
  </si>
  <si>
    <t>102</t>
  </si>
  <si>
    <t>Новослободское</t>
  </si>
  <si>
    <t>73636460</t>
  </si>
  <si>
    <t>104</t>
  </si>
  <si>
    <t>105</t>
  </si>
  <si>
    <t>Сенгилеевское городское поселение</t>
  </si>
  <si>
    <t>73636101</t>
  </si>
  <si>
    <t>106</t>
  </si>
  <si>
    <t>Тушнинское</t>
  </si>
  <si>
    <t>73636480</t>
  </si>
  <si>
    <t>108</t>
  </si>
  <si>
    <t>Старокулаткинский муниципальный район</t>
  </si>
  <si>
    <t>73639000</t>
  </si>
  <si>
    <t>Зеленовское сельское поселение</t>
  </si>
  <si>
    <t>73639450</t>
  </si>
  <si>
    <t>109</t>
  </si>
  <si>
    <t>Мостякское</t>
  </si>
  <si>
    <t>73639455</t>
  </si>
  <si>
    <t>110</t>
  </si>
  <si>
    <t>Староатлашское</t>
  </si>
  <si>
    <t>73639445</t>
  </si>
  <si>
    <t>111</t>
  </si>
  <si>
    <t>112</t>
  </si>
  <si>
    <t>Старокулаткинское городское поселение</t>
  </si>
  <si>
    <t>73639151</t>
  </si>
  <si>
    <t>113</t>
  </si>
  <si>
    <t>Терешанское</t>
  </si>
  <si>
    <t>73639440</t>
  </si>
  <si>
    <t>114</t>
  </si>
  <si>
    <t>Старомайнский муниципальный район</t>
  </si>
  <si>
    <t>73642000</t>
  </si>
  <si>
    <t>Жедяевское</t>
  </si>
  <si>
    <t>73642425</t>
  </si>
  <si>
    <t>115</t>
  </si>
  <si>
    <t>Кандалинское</t>
  </si>
  <si>
    <t>73642405</t>
  </si>
  <si>
    <t>116</t>
  </si>
  <si>
    <t>Краснореченское</t>
  </si>
  <si>
    <t>73642430</t>
  </si>
  <si>
    <t>117</t>
  </si>
  <si>
    <t>Матвеевское</t>
  </si>
  <si>
    <t>73642445</t>
  </si>
  <si>
    <t>118</t>
  </si>
  <si>
    <t>Прибрежненское</t>
  </si>
  <si>
    <t>73642435</t>
  </si>
  <si>
    <t>119</t>
  </si>
  <si>
    <t>120</t>
  </si>
  <si>
    <t>Старомайнское городское поселение</t>
  </si>
  <si>
    <t>73642151</t>
  </si>
  <si>
    <t>121</t>
  </si>
  <si>
    <t>Урайкинское</t>
  </si>
  <si>
    <t>73642460</t>
  </si>
  <si>
    <t>122</t>
  </si>
  <si>
    <t>Сурский муниципальный район</t>
  </si>
  <si>
    <t>73644000</t>
  </si>
  <si>
    <t>Астрадамовское</t>
  </si>
  <si>
    <t>73644410</t>
  </si>
  <si>
    <t>123</t>
  </si>
  <si>
    <t>Лавинское</t>
  </si>
  <si>
    <t>73644455</t>
  </si>
  <si>
    <t>124</t>
  </si>
  <si>
    <t>Никитинское</t>
  </si>
  <si>
    <t>73644460</t>
  </si>
  <si>
    <t>125</t>
  </si>
  <si>
    <t>Сарское</t>
  </si>
  <si>
    <t>73644470</t>
  </si>
  <si>
    <t>126</t>
  </si>
  <si>
    <t>127</t>
  </si>
  <si>
    <t>Сурское городское поселение</t>
  </si>
  <si>
    <t>73644151</t>
  </si>
  <si>
    <t>128</t>
  </si>
  <si>
    <t>Хмелевское</t>
  </si>
  <si>
    <t>73644485</t>
  </si>
  <si>
    <t>129</t>
  </si>
  <si>
    <t>Чеботаевское</t>
  </si>
  <si>
    <t>73644475</t>
  </si>
  <si>
    <t>130</t>
  </si>
  <si>
    <t>73648000</t>
  </si>
  <si>
    <t>Белогорское</t>
  </si>
  <si>
    <t>73648410</t>
  </si>
  <si>
    <t>131</t>
  </si>
  <si>
    <t>Красноборское</t>
  </si>
  <si>
    <t>73648430</t>
  </si>
  <si>
    <t>132</t>
  </si>
  <si>
    <t>Михайловское</t>
  </si>
  <si>
    <t>73648435</t>
  </si>
  <si>
    <t>133</t>
  </si>
  <si>
    <t>Подкуровское</t>
  </si>
  <si>
    <t>73648438</t>
  </si>
  <si>
    <t>134</t>
  </si>
  <si>
    <t>135</t>
  </si>
  <si>
    <t>Ясашноташлинское</t>
  </si>
  <si>
    <t>73648450</t>
  </si>
  <si>
    <t>137</t>
  </si>
  <si>
    <t>73652000</t>
  </si>
  <si>
    <t>Тетюшское</t>
  </si>
  <si>
    <t>73652465</t>
  </si>
  <si>
    <t>141</t>
  </si>
  <si>
    <t>Тимирязевское</t>
  </si>
  <si>
    <t>73652445</t>
  </si>
  <si>
    <t>142</t>
  </si>
  <si>
    <t>143</t>
  </si>
  <si>
    <t>Ундоровское</t>
  </si>
  <si>
    <t>73652470</t>
  </si>
  <si>
    <t>144</t>
  </si>
  <si>
    <t>Цильнинский муниципальный район</t>
  </si>
  <si>
    <t>73654000</t>
  </si>
  <si>
    <t>Алгашинское</t>
  </si>
  <si>
    <t>73654480</t>
  </si>
  <si>
    <t>145</t>
  </si>
  <si>
    <t>73654485</t>
  </si>
  <si>
    <t>146</t>
  </si>
  <si>
    <t>Большенагаткинское</t>
  </si>
  <si>
    <t>73654415</t>
  </si>
  <si>
    <t>147</t>
  </si>
  <si>
    <t>Елховоозерское</t>
  </si>
  <si>
    <t>73654425</t>
  </si>
  <si>
    <t>148</t>
  </si>
  <si>
    <t>Мокробугурнинское</t>
  </si>
  <si>
    <t>73654445</t>
  </si>
  <si>
    <t>149</t>
  </si>
  <si>
    <t>Новоникулинское</t>
  </si>
  <si>
    <t>73654455</t>
  </si>
  <si>
    <t>150</t>
  </si>
  <si>
    <t>Тимерсянское</t>
  </si>
  <si>
    <t>73654475</t>
  </si>
  <si>
    <t>151</t>
  </si>
  <si>
    <t>152</t>
  </si>
  <si>
    <t>Цильнинское городское поселение</t>
  </si>
  <si>
    <t>73654154</t>
  </si>
  <si>
    <t>153</t>
  </si>
  <si>
    <t>Чердаклинский муниципальный район</t>
  </si>
  <si>
    <t>73656000</t>
  </si>
  <si>
    <t>Белоярское</t>
  </si>
  <si>
    <t>73656410</t>
  </si>
  <si>
    <t>154</t>
  </si>
  <si>
    <t>Богдашкинское</t>
  </si>
  <si>
    <t>73656413</t>
  </si>
  <si>
    <t>155</t>
  </si>
  <si>
    <t>Бряндинское</t>
  </si>
  <si>
    <t>73656415</t>
  </si>
  <si>
    <t>156</t>
  </si>
  <si>
    <t>Калмаюрское</t>
  </si>
  <si>
    <t>73656470</t>
  </si>
  <si>
    <t>157</t>
  </si>
  <si>
    <t>Красноярское</t>
  </si>
  <si>
    <t>73656425</t>
  </si>
  <si>
    <t>158</t>
  </si>
  <si>
    <t>Крестовогородищенское</t>
  </si>
  <si>
    <t>73656430</t>
  </si>
  <si>
    <t>159</t>
  </si>
  <si>
    <t>Мирновское</t>
  </si>
  <si>
    <t>73656440</t>
  </si>
  <si>
    <t>160</t>
  </si>
  <si>
    <t>Озерское сельское поселение</t>
  </si>
  <si>
    <t>73656445</t>
  </si>
  <si>
    <t>161</t>
  </si>
  <si>
    <t>Октябрьское сельское поселение</t>
  </si>
  <si>
    <t>73656406</t>
  </si>
  <si>
    <t>162</t>
  </si>
  <si>
    <t>163</t>
  </si>
  <si>
    <t>Чердаклинское городское поселение</t>
  </si>
  <si>
    <t>73656151</t>
  </si>
  <si>
    <t>164</t>
  </si>
  <si>
    <t>город Димитровград</t>
  </si>
  <si>
    <t>73705000</t>
  </si>
  <si>
    <t>городской округ</t>
  </si>
  <si>
    <t>165</t>
  </si>
  <si>
    <t>город Ульяновск</t>
  </si>
  <si>
    <t>73701000</t>
  </si>
  <si>
    <t>167</t>
  </si>
  <si>
    <t>NUMBER_POINT</t>
  </si>
  <si>
    <t>L_NAME</t>
  </si>
  <si>
    <t>L_START_DATE</t>
  </si>
  <si>
    <t>L_END_DATE</t>
  </si>
  <si>
    <t>Инвестиционная программа от 01.01.2017 УМУП "Ульяновскводоканал" в сфере водоснабжения и водоотведения по модернизации и реконструкции единого комплекса объектов, на территории городского округа Ульяновск на 2017-2021 годы</t>
  </si>
  <si>
    <t>01.01.2017</t>
  </si>
  <si>
    <t>31.12.2021</t>
  </si>
  <si>
    <t>Инвестиционная программа от 29.11.2016 УМУП "Ульяновскводоканал" в сфере водоснабжения и водоотведения по развитию и реконструкции систем инженерной инфраструктуры на 2017-2021 годы</t>
  </si>
  <si>
    <t>Инвестиционная программа от 29.11.2016 УМУП "Ульяновскводоканал" в сфере водоснабжения и водоотведения по развитию и реконструкции систем инженерной инфраструктуры, на территории городского округа Ульяновск на 2017-2021 годы</t>
  </si>
  <si>
    <t>Инвестиционная программа от 30.11.2021 ООО "Родник" в сфере водоснабжения и водоотведения по развитию, реконструкции и модернизации систем систем водоcнабжения и водоотведения, на территории городского поселения Новомайнское, Мелекесский муниципальный район на 2022-2030 годы</t>
  </si>
  <si>
    <t>01.01.2022</t>
  </si>
  <si>
    <t>31.12.2030</t>
  </si>
  <si>
    <t>Инвестиционная программа от 30.11.2021 ООО "Родник" в сфере водоснабжения и водоотведения по реконструкции, модернизации и развитию систем водоcнабжения и водоотведения на 2021-2030 годы</t>
  </si>
  <si>
    <t>01.12.2021</t>
  </si>
  <si>
    <t>Инвестиционная программа от 30.11.2021 ООО "Родник" в сфере водоснабжения и водоотведения по реконструкции, модернизации и развитию систем водоснабжения и водоотведения, на территории городского поселения Новомайнское, Мелекесский муниципальный район на 2022-2030 годы</t>
  </si>
  <si>
    <t>Инвестиционная программа по развитию и реконструкции состем инженерной инфраструктуры систем холодного водоснабжения и водоотведения на территории города Димитровград на 2018-2046 годы</t>
  </si>
  <si>
    <t>01.01.2018</t>
  </si>
  <si>
    <t>31.12.2046</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</si>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</sst>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5027">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3" xfId="0" applyNumberFormat="1" applyFont="1" applyBorder="1" applyAlignment="1">
      <alignment horizontal="center" vertical="center" wrapText="1"/>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2" fillId="0" borderId="11" xfId="0" applyNumberFormat="1" applyFont="1" applyBorder="1" applyAlignment="1">
      <alignment horizontal="left" vertical="center" wrapText="1"/>
    </xf>
    <xf numFmtId="49" fontId="2" fillId="0" borderId="0" xfId="0" applyNumberFormat="1" applyFont="1" applyAlignment="1">
      <alignment horizontal="center"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2"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indent="6"/>
      <protection locked="0"/>
    </xf>
    <xf numFmtId="0" fontId="2" fillId="0" borderId="3" xfId="0" applyNumberFormat="1" applyFont="1" applyBorder="1" applyAlignment="1">
      <alignment horizontal="left" vertical="center" wrapText="1" indent="6"/>
    </xf>
    <xf numFmtId="4" fontId="2" fillId="7" borderId="3"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4" fontId="2" fillId="0" borderId="28" xfId="0" applyNumberFormat="1" applyFont="1" applyBorder="1" applyAlignment="1">
      <alignment horizontal="right" vertical="center" wrapText="1"/>
    </xf>
    <xf numFmtId="0" fontId="20"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0" fontId="20" fillId="0" borderId="15" xfId="0" applyNumberFormat="1" applyFont="1" applyBorder="1" applyAlignment="1">
      <alignment vertical="center" wrapText="1"/>
    </xf>
    <xf numFmtId="49" fontId="2" fillId="0" borderId="3" xfId="0" applyNumberFormat="1" applyFont="1" applyBorder="1" applyAlignment="1">
      <alignment horizontal="left" vertical="center" wrapText="1"/>
    </xf>
    <xf numFmtId="4" fontId="2" fillId="0" borderId="3"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 fontId="2" fillId="0" borderId="21" xfId="0" applyNumberFormat="1" applyFont="1" applyBorder="1" applyAlignment="1">
      <alignment horizontal="right" vertical="center" wrapText="1"/>
    </xf>
    <xf numFmtId="49" fontId="0" fillId="0" borderId="0" xfId="0" applyNumberFormat="1" applyFont="1">
      <alignment vertical="top"/>
    </xf>
    <xf numFmtId="0" fontId="2" fillId="6" borderId="3" xfId="0" applyNumberFormat="1" applyFont="1" applyFill="1" applyBorder="1" applyAlignment="1">
      <alignment horizontal="left" vertical="center" wrapText="1" indent="5"/>
    </xf>
    <xf numFmtId="0" fontId="17" fillId="0" borderId="8"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17"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wrapText="1"/>
    </xf>
    <xf numFmtId="49" fontId="2" fillId="0" borderId="0" xfId="0" applyNumberFormat="1" applyFont="1" applyAlignment="1">
      <alignment vertical="center" wrapText="1"/>
    </xf>
    <xf numFmtId="49" fontId="2" fillId="0" borderId="0" xfId="0" applyNumberFormat="1" applyFont="1">
      <alignment vertical="top"/>
    </xf>
    <xf numFmtId="49" fontId="2" fillId="0" borderId="15" xfId="0" applyNumberFormat="1" applyFont="1" applyBorder="1">
      <alignment vertical="top"/>
    </xf>
    <xf numFmtId="0" fontId="2" fillId="0" borderId="3" xfId="0" applyNumberFormat="1" applyFont="1" applyBorder="1" applyAlignment="1">
      <alignment vertical="center" wrapText="1"/>
    </xf>
    <xf numFmtId="49" fontId="0" fillId="0" borderId="0" xfId="0" applyNumberFormat="1" applyFont="1">
      <alignment vertical="top"/>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vertical="center" wrapText="1"/>
    </xf>
    <xf numFmtId="49" fontId="11"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49" fontId="20" fillId="0" borderId="0" xfId="0" applyNumberFormat="1" applyFont="1" applyAlignment="1">
      <alignment horizontal="left" vertical="center"/>
    </xf>
    <xf numFmtId="49" fontId="20" fillId="0" borderId="0" xfId="0" applyNumberFormat="1" applyFont="1">
      <alignment vertical="top"/>
    </xf>
    <xf numFmtId="49" fontId="80" fillId="0" borderId="0" xfId="0" applyNumberFormat="1" applyFont="1">
      <alignment vertical="top"/>
    </xf>
    <xf numFmtId="49" fontId="70" fillId="0" borderId="0" xfId="0" applyNumberFormat="1" applyFont="1" applyAlignment="1">
      <alignment horizontal="left" vertical="center"/>
    </xf>
    <xf numFmtId="49" fontId="20" fillId="0" borderId="0" xfId="0" applyNumberFormat="1" applyFont="1" applyAlignment="1">
      <alignment horizontal="left" vertical="center" indent="1"/>
    </xf>
    <xf numFmtId="49" fontId="20" fillId="0" borderId="0" xfId="0" applyNumberFormat="1" applyFont="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0" fillId="0" borderId="4" xfId="0" applyNumberFormat="1" applyFont="1" applyBorder="1" applyAlignment="1">
      <alignment horizontal="center" vertical="center"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27" xfId="0" applyNumberFormat="1" applyFont="1" applyFill="1" applyBorder="1" applyAlignment="1">
      <alignment horizontal="left" vertical="top"/>
    </xf>
    <xf numFmtId="49" fontId="0" fillId="11" borderId="3" xfId="0" applyNumberFormat="1" applyFont="1" applyFill="1" applyBorder="1" applyAlignment="1">
      <alignment horizontal="left" vertical="top"/>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7"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0"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vbelyanushkina@b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800" customWidth="1"/>
    <col min="2" max="2" width="9.140625" style="1800" customWidth="1"/>
    <col min="3" max="3" width="16.42578125" style="1800" customWidth="1"/>
    <col min="4" max="25" width="6.28515625" style="1800" customWidth="1"/>
    <col min="26" max="28" width="11" style="1800"/>
  </cols>
  <sheetData>
    <row r="1" spans="1:28" ht="15.75" customHeight="1">
      <c r="A1" s="1612"/>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4"/>
      <c r="Z1" s="1613"/>
      <c r="AA1" s="1615" t="s">
        <v>0</v>
      </c>
      <c r="AB1" s="1613"/>
    </row>
    <row r="2" spans="1:28" ht="17.25" customHeight="1">
      <c r="A2" s="1613"/>
      <c r="B2" s="4579" t="s">
        <v>1</v>
      </c>
      <c r="C2" s="4579"/>
      <c r="D2" s="4579"/>
      <c r="E2" s="4579"/>
      <c r="F2" s="4579"/>
      <c r="G2" s="4579"/>
      <c r="H2" s="4579"/>
      <c r="I2" s="4579"/>
      <c r="J2" s="4579"/>
      <c r="K2" s="4579"/>
      <c r="L2" s="4579"/>
      <c r="M2" s="4579"/>
      <c r="N2" s="4579"/>
      <c r="O2" s="4579"/>
      <c r="P2" s="4579"/>
      <c r="Q2" s="1616"/>
      <c r="R2" s="1616"/>
      <c r="S2" s="1616"/>
      <c r="T2" s="1616"/>
      <c r="U2" s="1616"/>
      <c r="V2" s="1617"/>
      <c r="W2" s="1616"/>
      <c r="X2" s="1616"/>
      <c r="Y2" s="1614"/>
      <c r="Z2" s="1613"/>
      <c r="AA2" s="1615"/>
      <c r="AB2" s="1613"/>
    </row>
    <row r="3" spans="1:28" ht="15.75" customHeight="1">
      <c r="A3" s="1613"/>
      <c r="B3" s="4580" t="s">
        <v>2</v>
      </c>
      <c r="C3" s="4580"/>
      <c r="D3" s="4580"/>
      <c r="E3" s="4580"/>
      <c r="F3" s="4580"/>
      <c r="G3" s="4580"/>
      <c r="H3" s="4580"/>
      <c r="I3" s="4580"/>
      <c r="J3" s="4580"/>
      <c r="K3" s="4580"/>
      <c r="L3" s="4580"/>
      <c r="M3" s="4580"/>
      <c r="N3" s="4580"/>
      <c r="O3" s="4580"/>
      <c r="P3" s="4580"/>
      <c r="Q3" s="1617"/>
      <c r="R3" s="1617"/>
      <c r="S3" s="1616"/>
      <c r="T3" s="1616"/>
      <c r="U3" s="1616"/>
      <c r="V3" s="1617"/>
      <c r="W3" s="1617"/>
      <c r="X3" s="1617"/>
      <c r="Y3" s="1617"/>
      <c r="Z3" s="1613"/>
      <c r="AA3" s="1615"/>
      <c r="AB3" s="1613"/>
    </row>
    <row r="4" spans="1:28" ht="17.25" customHeight="1">
      <c r="A4" s="1613"/>
      <c r="B4" s="1618"/>
      <c r="C4" s="1613"/>
      <c r="D4" s="1617"/>
      <c r="E4" s="1617"/>
      <c r="F4" s="1617"/>
      <c r="G4" s="1617"/>
      <c r="H4" s="1617"/>
      <c r="I4" s="1617"/>
      <c r="J4" s="1617"/>
      <c r="K4" s="1617"/>
      <c r="L4" s="1617"/>
      <c r="M4" s="1617"/>
      <c r="N4" s="1617"/>
      <c r="O4" s="1617"/>
      <c r="P4" s="1617"/>
      <c r="Q4" s="1617"/>
      <c r="R4" s="1617"/>
      <c r="S4" s="1617"/>
      <c r="T4" s="1617"/>
      <c r="U4" s="1617"/>
      <c r="V4" s="1617"/>
      <c r="W4" s="1617"/>
      <c r="X4" s="1617"/>
      <c r="Y4" s="1617"/>
      <c r="Z4" s="1613"/>
      <c r="AA4" s="1615"/>
      <c r="AB4" s="1613"/>
    </row>
    <row r="5" spans="1:28" ht="22.5" customHeight="1">
      <c r="A5" s="1619"/>
      <c r="B5" s="4581"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4582"/>
      <c r="D5" s="4582"/>
      <c r="E5" s="4582"/>
      <c r="F5" s="4582"/>
      <c r="G5" s="4582"/>
      <c r="H5" s="4582"/>
      <c r="I5" s="4582"/>
      <c r="J5" s="4582"/>
      <c r="K5" s="4582"/>
      <c r="L5" s="4582"/>
      <c r="M5" s="4582"/>
      <c r="N5" s="4582"/>
      <c r="O5" s="4582"/>
      <c r="P5" s="4582"/>
      <c r="Q5" s="4582"/>
      <c r="R5" s="4582"/>
      <c r="S5" s="4582"/>
      <c r="T5" s="4582"/>
      <c r="U5" s="4582"/>
      <c r="V5" s="4582"/>
      <c r="W5" s="4582"/>
      <c r="X5" s="4582"/>
      <c r="Y5" s="4583"/>
      <c r="Z5" s="1619"/>
      <c r="AA5" s="1615"/>
      <c r="AB5" s="1619"/>
    </row>
    <row r="6" spans="1:28" ht="15" customHeight="1">
      <c r="A6" s="1620"/>
      <c r="B6" s="4584" t="s">
        <v>3</v>
      </c>
      <c r="C6" s="4585"/>
      <c r="D6" s="1621"/>
      <c r="E6" s="1621"/>
      <c r="F6" s="1621"/>
      <c r="G6" s="1621"/>
      <c r="H6" s="1621"/>
      <c r="I6" s="1621"/>
      <c r="J6" s="1621"/>
      <c r="K6" s="1621"/>
      <c r="L6" s="1621"/>
      <c r="M6" s="1621"/>
      <c r="N6" s="1621"/>
      <c r="O6" s="1621"/>
      <c r="P6" s="1621"/>
      <c r="Q6" s="1621"/>
      <c r="R6" s="1621"/>
      <c r="S6" s="1621"/>
      <c r="T6" s="1621"/>
      <c r="U6" s="1621"/>
      <c r="V6" s="1621"/>
      <c r="W6" s="1621"/>
      <c r="X6" s="1621"/>
      <c r="Y6" s="1622"/>
      <c r="Z6" s="1623"/>
      <c r="AA6" s="1624"/>
      <c r="AB6" s="1624"/>
    </row>
    <row r="7" spans="1:28" ht="15" customHeight="1">
      <c r="A7" s="1620"/>
      <c r="B7" s="4584"/>
      <c r="C7" s="4585"/>
      <c r="D7" s="1621"/>
      <c r="E7" s="1621"/>
      <c r="F7" s="1625"/>
      <c r="G7" s="1625"/>
      <c r="H7" s="1625"/>
      <c r="I7" s="1625"/>
      <c r="J7" s="1625"/>
      <c r="K7" s="1625"/>
      <c r="L7" s="1625"/>
      <c r="M7" s="1625"/>
      <c r="N7" s="1625"/>
      <c r="O7" s="1621"/>
      <c r="P7" s="1625"/>
      <c r="Q7" s="1625"/>
      <c r="R7" s="1625"/>
      <c r="S7" s="1625"/>
      <c r="T7" s="1625"/>
      <c r="U7" s="1625"/>
      <c r="V7" s="1625"/>
      <c r="W7" s="1625"/>
      <c r="X7" s="1625"/>
      <c r="Y7" s="1622"/>
      <c r="Z7" s="1623"/>
      <c r="AA7" s="1624"/>
      <c r="AB7" s="1624"/>
    </row>
    <row r="8" spans="1:28" ht="15" customHeight="1">
      <c r="A8" s="1620"/>
      <c r="B8" s="4584"/>
      <c r="C8" s="4585"/>
      <c r="D8" s="1626"/>
      <c r="E8" s="1627" t="s">
        <v>4</v>
      </c>
      <c r="F8" s="4587" t="s">
        <v>5</v>
      </c>
      <c r="G8" s="4588"/>
      <c r="H8" s="4588"/>
      <c r="I8" s="4588"/>
      <c r="J8" s="4588"/>
      <c r="K8" s="4588"/>
      <c r="L8" s="4588"/>
      <c r="M8" s="4588"/>
      <c r="N8" s="1626"/>
      <c r="O8" s="1628" t="s">
        <v>4</v>
      </c>
      <c r="P8" s="4589" t="s">
        <v>6</v>
      </c>
      <c r="Q8" s="4590"/>
      <c r="R8" s="4590"/>
      <c r="S8" s="4590"/>
      <c r="T8" s="4590"/>
      <c r="U8" s="4590"/>
      <c r="V8" s="4590"/>
      <c r="W8" s="4590"/>
      <c r="X8" s="4590"/>
      <c r="Y8" s="1622"/>
      <c r="Z8" s="1623"/>
      <c r="AA8" s="1624"/>
      <c r="AB8" s="1624"/>
    </row>
    <row r="9" spans="1:28" ht="15" customHeight="1">
      <c r="A9" s="1620"/>
      <c r="B9" s="4584"/>
      <c r="C9" s="4585"/>
      <c r="D9" s="1626"/>
      <c r="E9" s="1629" t="s">
        <v>4</v>
      </c>
      <c r="F9" s="4587" t="s">
        <v>7</v>
      </c>
      <c r="G9" s="4588"/>
      <c r="H9" s="4588"/>
      <c r="I9" s="4588"/>
      <c r="J9" s="4588"/>
      <c r="K9" s="4588"/>
      <c r="L9" s="4588"/>
      <c r="M9" s="4588"/>
      <c r="N9" s="1626"/>
      <c r="O9" s="1630" t="s">
        <v>4</v>
      </c>
      <c r="P9" s="4589" t="s">
        <v>8</v>
      </c>
      <c r="Q9" s="4590"/>
      <c r="R9" s="4590"/>
      <c r="S9" s="4590"/>
      <c r="T9" s="4590"/>
      <c r="U9" s="4590"/>
      <c r="V9" s="4590"/>
      <c r="W9" s="4590"/>
      <c r="X9" s="4590"/>
      <c r="Y9" s="1622"/>
      <c r="Z9" s="1623"/>
      <c r="AA9" s="1624"/>
      <c r="AB9" s="1624"/>
    </row>
    <row r="10" spans="1:28" ht="30" customHeight="1">
      <c r="A10" s="1620"/>
      <c r="B10" s="4584"/>
      <c r="C10" s="4586"/>
      <c r="D10" s="1631"/>
      <c r="E10" s="1632"/>
      <c r="F10" s="1625"/>
      <c r="G10" s="1625"/>
      <c r="H10" s="1625"/>
      <c r="I10" s="1625"/>
      <c r="J10" s="1625"/>
      <c r="K10" s="1625"/>
      <c r="L10" s="1625"/>
      <c r="M10" s="1625"/>
      <c r="N10" s="1625"/>
      <c r="O10" s="1632"/>
      <c r="P10" s="1625"/>
      <c r="Q10" s="1625"/>
      <c r="R10" s="1625"/>
      <c r="S10" s="1625"/>
      <c r="T10" s="1625"/>
      <c r="U10" s="1625"/>
      <c r="V10" s="1625"/>
      <c r="W10" s="1625"/>
      <c r="X10" s="1625"/>
      <c r="Y10" s="1622"/>
      <c r="Z10" s="1623"/>
      <c r="AA10" s="1624"/>
      <c r="AB10" s="1624"/>
    </row>
    <row r="11" spans="1:28" ht="19.5" customHeight="1">
      <c r="A11" s="1620"/>
      <c r="B11" s="4591" t="s">
        <v>9</v>
      </c>
      <c r="C11" s="4592"/>
      <c r="D11" s="1626"/>
      <c r="E11" s="1633"/>
      <c r="F11" s="1633"/>
      <c r="G11" s="1633"/>
      <c r="H11" s="1633"/>
      <c r="I11" s="1633"/>
      <c r="J11" s="1633"/>
      <c r="K11" s="1633"/>
      <c r="L11" s="1633"/>
      <c r="M11" s="1633"/>
      <c r="N11" s="1633"/>
      <c r="O11" s="1633"/>
      <c r="P11" s="1633"/>
      <c r="Q11" s="1633"/>
      <c r="R11" s="1633"/>
      <c r="S11" s="1633"/>
      <c r="T11" s="1633"/>
      <c r="U11" s="1633"/>
      <c r="V11" s="1633"/>
      <c r="W11" s="1633"/>
      <c r="X11" s="1633"/>
      <c r="Y11" s="1622"/>
      <c r="Z11" s="1623"/>
      <c r="AA11" s="1624"/>
      <c r="AB11" s="1624"/>
    </row>
    <row r="12" spans="1:28" ht="69" customHeight="1">
      <c r="A12" s="1620"/>
      <c r="B12" s="4584"/>
      <c r="C12" s="4586"/>
      <c r="D12" s="1634"/>
      <c r="E12" s="4588" t="s">
        <v>10</v>
      </c>
      <c r="F12" s="4588"/>
      <c r="G12" s="4588"/>
      <c r="H12" s="4588"/>
      <c r="I12" s="4588"/>
      <c r="J12" s="4588"/>
      <c r="K12" s="4588"/>
      <c r="L12" s="4588"/>
      <c r="M12" s="4588"/>
      <c r="N12" s="4588"/>
      <c r="O12" s="4588"/>
      <c r="P12" s="4588"/>
      <c r="Q12" s="4588"/>
      <c r="R12" s="4588"/>
      <c r="S12" s="4588"/>
      <c r="T12" s="4588"/>
      <c r="U12" s="4588"/>
      <c r="V12" s="4588"/>
      <c r="W12" s="4588"/>
      <c r="X12" s="4588"/>
      <c r="Y12" s="1622"/>
      <c r="Z12" s="1623"/>
      <c r="AA12" s="1624"/>
      <c r="AB12" s="1624"/>
    </row>
    <row r="13" spans="1:28" ht="15" customHeight="1">
      <c r="A13" s="1620"/>
      <c r="B13" s="4591" t="s">
        <v>11</v>
      </c>
      <c r="C13" s="4592"/>
      <c r="D13" s="1621"/>
      <c r="E13" s="1633"/>
      <c r="F13" s="1633"/>
      <c r="G13" s="1633"/>
      <c r="H13" s="1633"/>
      <c r="I13" s="1633"/>
      <c r="J13" s="1633"/>
      <c r="K13" s="1633"/>
      <c r="L13" s="1633"/>
      <c r="M13" s="1633"/>
      <c r="N13" s="1633"/>
      <c r="O13" s="1633"/>
      <c r="P13" s="1633"/>
      <c r="Q13" s="1633"/>
      <c r="R13" s="1633"/>
      <c r="S13" s="1633"/>
      <c r="T13" s="1633"/>
      <c r="U13" s="1633"/>
      <c r="V13" s="1633"/>
      <c r="W13" s="1633"/>
      <c r="X13" s="1633"/>
      <c r="Y13" s="1622"/>
      <c r="Z13" s="1623"/>
      <c r="AA13" s="1624"/>
      <c r="AB13" s="1624"/>
    </row>
    <row r="14" spans="1:28" ht="57" customHeight="1">
      <c r="A14" s="1620"/>
      <c r="B14" s="4584"/>
      <c r="C14" s="4585"/>
      <c r="D14" s="1626"/>
      <c r="E14" s="4595" t="s">
        <v>12</v>
      </c>
      <c r="F14" s="4595"/>
      <c r="G14" s="4595"/>
      <c r="H14" s="4595"/>
      <c r="I14" s="4595"/>
      <c r="J14" s="4595"/>
      <c r="K14" s="4595"/>
      <c r="L14" s="4595"/>
      <c r="M14" s="4595"/>
      <c r="N14" s="4595"/>
      <c r="O14" s="4595"/>
      <c r="P14" s="4595"/>
      <c r="Q14" s="4595"/>
      <c r="R14" s="4595"/>
      <c r="S14" s="4595"/>
      <c r="T14" s="4595"/>
      <c r="U14" s="4595"/>
      <c r="V14" s="4595"/>
      <c r="W14" s="4595"/>
      <c r="X14" s="4595"/>
      <c r="Y14" s="1622"/>
      <c r="Z14" s="1623"/>
      <c r="AA14" s="1624"/>
      <c r="AB14" s="1624"/>
    </row>
    <row r="15" spans="1:28" ht="16.5" customHeight="1">
      <c r="A15" s="1620"/>
      <c r="B15" s="4593"/>
      <c r="C15" s="4594"/>
      <c r="D15" s="1635"/>
      <c r="E15" s="1636"/>
      <c r="F15" s="1636"/>
      <c r="G15" s="1636"/>
      <c r="H15" s="1636"/>
      <c r="I15" s="1636"/>
      <c r="J15" s="1636"/>
      <c r="K15" s="1636"/>
      <c r="L15" s="1636"/>
      <c r="M15" s="1636"/>
      <c r="N15" s="1636"/>
      <c r="O15" s="1636"/>
      <c r="P15" s="1636"/>
      <c r="Q15" s="1636"/>
      <c r="R15" s="1636"/>
      <c r="S15" s="1636"/>
      <c r="T15" s="1636"/>
      <c r="U15" s="1636"/>
      <c r="V15" s="1636"/>
      <c r="W15" s="1636"/>
      <c r="X15" s="1636"/>
      <c r="Y15" s="1637"/>
      <c r="Z15" s="1623"/>
      <c r="AA15" s="1638"/>
      <c r="AB15" s="1624"/>
    </row>
    <row r="16" spans="1:28" ht="95.25" customHeight="1">
      <c r="A16" s="1613"/>
      <c r="B16" s="4595"/>
      <c r="C16" s="4596"/>
      <c r="D16" s="4596"/>
      <c r="E16" s="4596"/>
      <c r="F16" s="4596"/>
      <c r="G16" s="4596"/>
      <c r="H16" s="4596"/>
      <c r="I16" s="4596"/>
      <c r="J16" s="4596"/>
      <c r="K16" s="4596"/>
      <c r="L16" s="4596"/>
      <c r="M16" s="4596"/>
      <c r="N16" s="4596"/>
      <c r="O16" s="4596"/>
      <c r="P16" s="4596"/>
      <c r="Q16" s="4596"/>
      <c r="R16" s="4596"/>
      <c r="S16" s="4596"/>
      <c r="T16" s="4596"/>
      <c r="U16" s="4596"/>
      <c r="V16" s="4596"/>
      <c r="W16" s="4596"/>
      <c r="X16" s="4596"/>
      <c r="Y16" s="4596"/>
      <c r="Z16" s="1613"/>
      <c r="AA16" s="1615"/>
      <c r="AB16" s="1613"/>
    </row>
    <row r="17" spans="1:28" ht="14.25" customHeight="1">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4"/>
      <c r="Z17" s="1613"/>
      <c r="AA17" s="1615"/>
      <c r="AB17" s="1613"/>
    </row>
    <row r="18" spans="1:28" ht="14.25" customHeight="1">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4"/>
      <c r="Z18" s="1613"/>
      <c r="AA18" s="1615"/>
      <c r="AB18" s="1613"/>
    </row>
    <row r="19" spans="1:28" ht="14.25" customHeight="1">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4"/>
      <c r="Z19" s="1613"/>
      <c r="AA19" s="1615"/>
      <c r="AB19" s="1613"/>
    </row>
    <row r="20" spans="1:28" ht="14.25" customHeight="1">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4"/>
      <c r="Z20" s="1613"/>
      <c r="AA20" s="1615"/>
      <c r="AB20" s="1613"/>
    </row>
    <row r="21" spans="1:28" ht="14.25" customHeight="1">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c r="W21" s="1613"/>
      <c r="X21" s="1613"/>
      <c r="Y21" s="1614"/>
      <c r="Z21" s="1613"/>
      <c r="AA21" s="1615"/>
      <c r="AB21" s="1613"/>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D3" zoomScale="90" workbookViewId="0"/>
  </sheetViews>
  <sheetFormatPr defaultColWidth="10.5703125" defaultRowHeight="14.25" customHeight="1"/>
  <cols>
    <col min="1" max="1" width="9.140625" style="1936" hidden="1" customWidth="1"/>
    <col min="2" max="2" width="9.140625" style="1935" hidden="1" customWidth="1"/>
    <col min="3" max="3" width="9.140625" style="1824" hidden="1" customWidth="1"/>
    <col min="4" max="4" width="3.7109375" style="1937" customWidth="1"/>
    <col min="5" max="5" width="6.28515625" style="1935" customWidth="1"/>
    <col min="6" max="6" width="1.7109375" style="1824" hidden="1" customWidth="1"/>
    <col min="7" max="8" width="30.7109375" style="1935" customWidth="1"/>
    <col min="9" max="9" width="9" style="1935" customWidth="1"/>
    <col min="10" max="10" width="12.140625" style="1935" customWidth="1"/>
    <col min="11" max="11" width="46.7109375" style="1935" customWidth="1"/>
    <col min="12" max="12" width="100.28515625" style="1935" customWidth="1"/>
    <col min="13" max="13" width="7.5703125" style="1939" customWidth="1"/>
    <col min="14" max="22" width="10.5703125" style="1935"/>
  </cols>
  <sheetData>
    <row r="1" spans="1:22" s="1934" customFormat="1" ht="5.25" hidden="1" customHeight="1">
      <c r="C1" s="438"/>
      <c r="D1" s="421"/>
      <c r="F1" s="438"/>
      <c r="G1" s="416" t="s">
        <v>81</v>
      </c>
      <c r="H1" s="416" t="s">
        <v>82</v>
      </c>
      <c r="I1" s="416" t="s">
        <v>83</v>
      </c>
      <c r="P1" s="416" t="s">
        <v>81</v>
      </c>
      <c r="Q1" s="416" t="s">
        <v>82</v>
      </c>
      <c r="R1" s="416" t="s">
        <v>83</v>
      </c>
    </row>
    <row r="2" spans="1:22" s="1934" customFormat="1" ht="5.25" hidden="1" customHeight="1">
      <c r="C2" s="438"/>
      <c r="D2" s="421"/>
      <c r="F2" s="438"/>
    </row>
    <row r="3" spans="1:22" s="1933" customFormat="1" ht="6" customHeight="1">
      <c r="A3" s="406"/>
      <c r="D3" s="413"/>
      <c r="E3" s="408"/>
      <c r="F3" s="408"/>
      <c r="G3" s="408"/>
      <c r="H3" s="408"/>
      <c r="I3" s="409"/>
      <c r="J3" s="410"/>
      <c r="K3" s="410"/>
      <c r="L3" s="410"/>
    </row>
    <row r="4" spans="1:22" ht="22.5" customHeight="1">
      <c r="D4" s="382"/>
      <c r="E4" s="4620" t="s">
        <v>529</v>
      </c>
      <c r="F4" s="4620"/>
      <c r="G4" s="4621"/>
      <c r="H4" s="4621"/>
      <c r="I4" s="4622"/>
      <c r="J4" s="418"/>
      <c r="K4" s="384"/>
      <c r="L4" s="384"/>
    </row>
    <row r="5" spans="1:22" s="1824" customFormat="1" ht="17.25" customHeight="1">
      <c r="A5" s="677"/>
      <c r="D5" s="740"/>
      <c r="E5" s="4724" t="str">
        <f>IF(org=0,"Не определено",org)</f>
        <v>ОГКП "Ульяновский областной водоканал"</v>
      </c>
      <c r="F5" s="4724"/>
      <c r="G5" s="4725"/>
      <c r="H5" s="4725"/>
      <c r="I5" s="4726"/>
      <c r="J5" s="418"/>
      <c r="K5" s="384"/>
      <c r="L5" s="384"/>
      <c r="M5" s="434"/>
    </row>
    <row r="6" spans="1:22" s="1933" customFormat="1" ht="11.25" customHeight="1">
      <c r="A6" s="406"/>
      <c r="D6" s="413"/>
      <c r="E6" s="408"/>
      <c r="F6" s="408"/>
      <c r="G6" s="411"/>
      <c r="H6" s="411"/>
      <c r="I6" s="412"/>
      <c r="J6" s="412"/>
      <c r="K6" s="670"/>
      <c r="L6" s="412"/>
    </row>
    <row r="7" spans="1:22" ht="14.25" customHeight="1">
      <c r="D7" s="382"/>
      <c r="E7" s="4718" t="s">
        <v>439</v>
      </c>
      <c r="F7" s="4718"/>
      <c r="G7" s="4719"/>
      <c r="H7" s="4719"/>
      <c r="I7" s="4719"/>
      <c r="J7" s="4719"/>
      <c r="K7" s="4719"/>
      <c r="L7" s="4655" t="s">
        <v>440</v>
      </c>
    </row>
    <row r="8" spans="1:22" ht="45" customHeight="1">
      <c r="D8" s="382"/>
      <c r="E8" s="401" t="s">
        <v>86</v>
      </c>
      <c r="F8" s="741"/>
      <c r="G8" s="393" t="s">
        <v>84</v>
      </c>
      <c r="H8" s="393" t="s">
        <v>85</v>
      </c>
      <c r="I8" s="349" t="s">
        <v>83</v>
      </c>
      <c r="J8" s="349" t="s">
        <v>530</v>
      </c>
      <c r="K8" s="349" t="s">
        <v>531</v>
      </c>
      <c r="L8" s="4655"/>
    </row>
    <row r="9" spans="1:22" ht="12" hidden="1" customHeight="1">
      <c r="D9" s="414"/>
      <c r="E9" s="420"/>
      <c r="F9" s="748"/>
      <c r="G9" s="420"/>
      <c r="H9" s="420"/>
      <c r="I9" s="420"/>
      <c r="J9" s="420"/>
      <c r="K9" s="420"/>
      <c r="L9" s="420"/>
      <c r="M9" s="380"/>
    </row>
    <row r="10" spans="1:22" ht="14.25" hidden="1" customHeight="1">
      <c r="A10" s="432"/>
      <c r="B10" s="432"/>
      <c r="D10" s="433"/>
      <c r="E10" s="439">
        <v>0</v>
      </c>
      <c r="F10" s="739"/>
      <c r="G10" s="435"/>
      <c r="H10" s="435"/>
      <c r="I10" s="435"/>
      <c r="J10" s="435"/>
      <c r="K10" s="435"/>
      <c r="L10" s="4730" t="s">
        <v>532</v>
      </c>
      <c r="M10" s="434"/>
      <c r="N10" s="432"/>
      <c r="O10" s="432"/>
      <c r="P10" s="432"/>
      <c r="Q10" s="432"/>
      <c r="R10" s="432"/>
      <c r="S10" s="432"/>
      <c r="T10" s="432"/>
      <c r="U10" s="432"/>
      <c r="V10" s="432"/>
    </row>
    <row r="11" spans="1:22" ht="15" hidden="1" customHeight="1">
      <c r="A11" s="4601"/>
      <c r="B11" s="431"/>
      <c r="C11" s="431"/>
      <c r="D11" s="779"/>
      <c r="E11" s="440"/>
      <c r="F11" s="440"/>
      <c r="G11" s="440"/>
      <c r="H11" s="440"/>
      <c r="I11" s="441"/>
      <c r="J11" s="442"/>
      <c r="K11" s="633"/>
      <c r="L11" s="4744"/>
      <c r="M11" s="438"/>
      <c r="N11" s="438"/>
      <c r="O11" s="438"/>
      <c r="P11" s="443"/>
      <c r="Q11" s="443"/>
      <c r="R11" s="444"/>
      <c r="S11" s="438"/>
      <c r="T11" s="438"/>
      <c r="U11" s="438"/>
      <c r="V11" s="438"/>
    </row>
    <row r="12" spans="1:22" s="1933" customFormat="1" ht="14.25" customHeight="1">
      <c r="A12" s="4601"/>
      <c r="B12" s="431"/>
      <c r="C12" s="431"/>
      <c r="D12" s="780"/>
      <c r="E12" s="741">
        <v>1</v>
      </c>
      <c r="F12" s="778">
        <v>23</v>
      </c>
      <c r="G12" s="777"/>
      <c r="H12" s="711"/>
      <c r="I12" s="709"/>
      <c r="J12" s="447" t="s">
        <v>65</v>
      </c>
      <c r="K12" s="1065" t="s">
        <v>24</v>
      </c>
      <c r="L12" s="4744"/>
      <c r="M12" s="438"/>
      <c r="N12" s="438"/>
      <c r="O12" s="438"/>
      <c r="P12" s="443" t="s">
        <v>533</v>
      </c>
      <c r="Q12" s="443" t="s">
        <v>534</v>
      </c>
      <c r="R12" s="444" t="s">
        <v>535</v>
      </c>
      <c r="S12" s="438" t="s">
        <v>536</v>
      </c>
      <c r="T12" s="438"/>
      <c r="U12" s="438"/>
      <c r="V12" s="438"/>
    </row>
    <row r="13" spans="1:22" ht="15" customHeight="1">
      <c r="A13" s="4601"/>
      <c r="B13" s="432"/>
      <c r="D13" s="433"/>
      <c r="E13" s="340"/>
      <c r="F13" s="456"/>
      <c r="G13" s="351" t="s">
        <v>106</v>
      </c>
      <c r="H13" s="339"/>
      <c r="I13" s="339"/>
      <c r="J13" s="339"/>
      <c r="K13" s="338"/>
      <c r="L13" s="4731"/>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3" customWidth="1"/>
    <col min="17" max="18" width="3.7109375" style="1954" customWidth="1"/>
    <col min="19" max="19" width="12.7109375" style="1955" customWidth="1"/>
    <col min="20" max="20" width="35.7109375" style="1921" customWidth="1"/>
    <col min="21" max="21" width="0.140625" style="1921" customWidth="1"/>
    <col min="22" max="22" width="24.7109375" style="1921" hidden="1" customWidth="1"/>
    <col min="23" max="23" width="0.140625" style="1921" hidden="1" customWidth="1"/>
    <col min="24" max="25" width="24.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24.7109375" style="1921" customWidth="1"/>
    <col min="31" max="31" width="0.140625" style="1921" customWidth="1"/>
    <col min="32" max="33" width="24.710937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28"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24"/>
      <c r="Q3" s="278"/>
      <c r="R3" s="279"/>
      <c r="S3" s="1228"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28"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28"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47.25" hidden="1" customHeight="1">
      <c r="A6" s="1280"/>
      <c r="B6" s="1280"/>
      <c r="C6" s="1280"/>
      <c r="D6" s="1280"/>
      <c r="E6" s="4760"/>
      <c r="F6" s="4760"/>
      <c r="G6" s="4760"/>
      <c r="H6" s="4760"/>
      <c r="I6" s="4757" t="e">
        <f>S5&amp;".1"</f>
        <v>#N/A</v>
      </c>
      <c r="J6" s="1280"/>
      <c r="K6" s="1280"/>
      <c r="L6" s="1281" t="s">
        <v>544</v>
      </c>
      <c r="M6" s="463"/>
      <c r="P6" s="4758">
        <v>1</v>
      </c>
      <c r="Q6" s="1225"/>
      <c r="R6" s="282"/>
      <c r="S6" s="1228" t="e">
        <f>$I6</f>
        <v>#N/A</v>
      </c>
      <c r="T6" s="204" t="s">
        <v>545</v>
      </c>
      <c r="U6" s="219"/>
      <c r="V6" s="4748"/>
      <c r="W6" s="4749"/>
      <c r="X6" s="4749"/>
      <c r="Y6" s="4749"/>
      <c r="Z6" s="4749"/>
      <c r="AA6" s="4749"/>
      <c r="AB6" s="4749"/>
      <c r="AC6" s="4750"/>
      <c r="AD6" s="4748"/>
      <c r="AE6" s="4749"/>
      <c r="AF6" s="4749"/>
      <c r="AG6" s="4749"/>
      <c r="AH6" s="4749"/>
      <c r="AI6" s="4749"/>
      <c r="AJ6" s="4749"/>
      <c r="AK6" s="4749"/>
      <c r="AL6" s="4750"/>
      <c r="AM6" s="1178" t="s">
        <v>546</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28"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28" t="e">
        <f>$K8</f>
        <v>#N/A</v>
      </c>
      <c r="T8" s="1265"/>
      <c r="U8" s="219"/>
      <c r="V8" s="669"/>
      <c r="W8" s="251"/>
      <c r="X8" s="669"/>
      <c r="Y8" s="1177"/>
      <c r="Z8" s="4762"/>
      <c r="AA8" s="4608" t="s">
        <v>65</v>
      </c>
      <c r="AB8" s="4762"/>
      <c r="AC8" s="4608" t="s">
        <v>65</v>
      </c>
      <c r="AD8" s="669"/>
      <c r="AE8" s="251"/>
      <c r="AF8" s="669"/>
      <c r="AG8" s="1177"/>
      <c r="AH8" s="4762"/>
      <c r="AI8" s="4608" t="s">
        <v>65</v>
      </c>
      <c r="AJ8" s="4762"/>
      <c r="AK8" s="4608" t="s">
        <v>65</v>
      </c>
      <c r="AL8" s="251"/>
      <c r="AM8" s="4754" t="s">
        <v>551</v>
      </c>
      <c r="AN8" s="438" t="e">
        <f ca="1">STRCHECKDATE(V9:AL9)</f>
        <v>#NAME?</v>
      </c>
      <c r="AO8" s="427"/>
      <c r="AP8" s="427" t="str">
        <f t="shared" si="0"/>
        <v/>
      </c>
      <c r="AQ8" s="427"/>
      <c r="AR8" s="427"/>
    </row>
    <row r="9" spans="1:44" ht="0.75" hidden="1" customHeight="1">
      <c r="A9" s="1280"/>
      <c r="B9" s="1280"/>
      <c r="C9" s="1280"/>
      <c r="D9" s="1280"/>
      <c r="E9" s="4760"/>
      <c r="F9" s="4760"/>
      <c r="G9" s="4760"/>
      <c r="H9" s="4760"/>
      <c r="I9" s="4780"/>
      <c r="J9" s="4780"/>
      <c r="K9" s="4757"/>
      <c r="L9" s="1281"/>
      <c r="M9" s="463"/>
      <c r="N9" s="1283"/>
      <c r="O9" s="1283"/>
      <c r="P9" s="4758"/>
      <c r="Q9" s="4758"/>
      <c r="R9" s="283"/>
      <c r="S9" s="1226"/>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7"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4760"/>
      <c r="F11" s="4760"/>
      <c r="G11" s="4760"/>
      <c r="H11" s="4760"/>
      <c r="I11" s="4757"/>
      <c r="J11" s="1280"/>
      <c r="K11" s="1280"/>
      <c r="L11" s="1281"/>
      <c r="M11" s="463"/>
      <c r="P11" s="4758"/>
      <c r="Q11" s="1225"/>
      <c r="R11" s="282"/>
      <c r="S11" s="1199"/>
      <c r="T11" s="206"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199"/>
      <c r="T12" s="293" t="s">
        <v>554</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46" customFormat="1" ht="0.7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0.7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0.7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P17" s="1230"/>
      <c r="AD17" s="1277"/>
      <c r="AE17" s="1277"/>
      <c r="AF17" s="1277"/>
      <c r="AG17" s="1278"/>
      <c r="AH17" s="4764"/>
      <c r="AI17" s="4765" t="s">
        <v>65</v>
      </c>
      <c r="AJ17" s="4764"/>
      <c r="AK17" s="4765" t="s">
        <v>65</v>
      </c>
    </row>
    <row r="18" spans="1:44" ht="14.25" hidden="1" customHeight="1">
      <c r="P18" s="1230"/>
      <c r="AD18" s="1277"/>
      <c r="AE18" s="1277"/>
      <c r="AF18" s="1277"/>
      <c r="AG18" s="255" t="str">
        <f>AH17&amp;"-"&amp;AJ17</f>
        <v>-</v>
      </c>
      <c r="AH18" s="4765"/>
      <c r="AI18" s="4765"/>
      <c r="AJ18" s="4765"/>
      <c r="AK18" s="4765"/>
    </row>
    <row r="19" spans="1:44" ht="14.25" hidden="1" customHeight="1">
      <c r="P19" s="1230"/>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14.2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c r="P23" s="1230"/>
    </row>
    <row r="24" spans="1:44" ht="14.25" hidden="1" customHeight="1">
      <c r="O24" s="1281"/>
      <c r="P24" s="1230"/>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47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743"/>
      <c r="U26" s="4743"/>
      <c r="V26" s="4743"/>
      <c r="W26" s="4743"/>
      <c r="X26" s="4743"/>
      <c r="Y26" s="4743"/>
      <c r="Z26" s="4743"/>
      <c r="AA26" s="4743"/>
      <c r="AB26" s="4743"/>
      <c r="AC26" s="4743"/>
      <c r="AD26" s="4743"/>
      <c r="AE26" s="4743"/>
      <c r="AF26" s="4743"/>
      <c r="AG26" s="4743"/>
      <c r="AH26" s="4743"/>
      <c r="AI26" s="4743"/>
      <c r="AJ26" s="474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P33" s="1246"/>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18.7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125"/>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69"/>
      <c r="Y39" s="4769"/>
      <c r="Z39" s="4769"/>
      <c r="AA39" s="4769"/>
      <c r="AB39" s="4770"/>
      <c r="AC39" s="4771" t="s">
        <v>569</v>
      </c>
      <c r="AD39" s="4768" t="s">
        <v>568</v>
      </c>
      <c r="AE39" s="4769"/>
      <c r="AF39" s="4769"/>
      <c r="AG39" s="4769"/>
      <c r="AH39" s="4769"/>
      <c r="AI39" s="4769"/>
      <c r="AJ39" s="4770"/>
      <c r="AK39" s="4771" t="s">
        <v>570</v>
      </c>
      <c r="AL39" s="4774" t="s">
        <v>571</v>
      </c>
      <c r="AM39" s="4627"/>
    </row>
    <row r="40" spans="1:44" ht="33.75" customHeight="1">
      <c r="Q40" s="306"/>
      <c r="R40" s="306"/>
      <c r="S40" s="4767"/>
      <c r="T40" s="4719"/>
      <c r="U40" s="939"/>
      <c r="V40" s="4689" t="s">
        <v>572</v>
      </c>
      <c r="W40" s="4777" t="s">
        <v>573</v>
      </c>
      <c r="X40" s="4598" t="s">
        <v>574</v>
      </c>
      <c r="Y40" s="4597"/>
      <c r="Z40" s="4598" t="s">
        <v>575</v>
      </c>
      <c r="AA40" s="4604"/>
      <c r="AB40" s="4597"/>
      <c r="AC40" s="4772"/>
      <c r="AD40" s="4689" t="s">
        <v>572</v>
      </c>
      <c r="AE40" s="4777" t="s">
        <v>573</v>
      </c>
      <c r="AF40" s="4598" t="s">
        <v>574</v>
      </c>
      <c r="AG40" s="4597"/>
      <c r="AH40" s="4598" t="s">
        <v>575</v>
      </c>
      <c r="AI40" s="4604"/>
      <c r="AJ40" s="4597"/>
      <c r="AK40" s="4772"/>
      <c r="AL40" s="4775"/>
      <c r="AM40" s="4627"/>
    </row>
    <row r="41" spans="1:44" ht="33.7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Q41" s="306"/>
      <c r="R41" s="306"/>
      <c r="S41" s="4767"/>
      <c r="T41" s="4719"/>
      <c r="U41" s="221"/>
      <c r="V41" s="4738"/>
      <c r="W41" s="4778"/>
      <c r="X41" s="1129" t="s">
        <v>583</v>
      </c>
      <c r="Y41" s="1129" t="s">
        <v>584</v>
      </c>
      <c r="Z41" s="1128" t="s">
        <v>585</v>
      </c>
      <c r="AA41" s="4727" t="s">
        <v>586</v>
      </c>
      <c r="AB41" s="4729"/>
      <c r="AC41" s="4773"/>
      <c r="AD41" s="4738"/>
      <c r="AE41" s="4778"/>
      <c r="AF41" s="1129" t="s">
        <v>583</v>
      </c>
      <c r="AG41" s="1129" t="s">
        <v>584</v>
      </c>
      <c r="AH41" s="1232" t="s">
        <v>585</v>
      </c>
      <c r="AI41" s="4727" t="s">
        <v>586</v>
      </c>
      <c r="AJ41" s="4729"/>
      <c r="AK41" s="4773"/>
      <c r="AL41" s="4776"/>
      <c r="AM41" s="46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174">
        <f ca="1">OFFSET(V42,0,-1)+1</f>
        <v>3</v>
      </c>
      <c r="W42" s="1174"/>
      <c r="X42" s="1174">
        <f ca="1">OFFSET(X42,0,-1)+1</f>
        <v>1</v>
      </c>
      <c r="Y42" s="1174">
        <f ca="1">OFFSET(Y42,0,-1)+1</f>
        <v>2</v>
      </c>
      <c r="Z42" s="1174">
        <f ca="1">OFFSET(Z42,0,-1)+1</f>
        <v>3</v>
      </c>
      <c r="AA42" s="4766">
        <f ca="1">OFFSET(AA42,0,-1)+1</f>
        <v>4</v>
      </c>
      <c r="AB42" s="4766"/>
      <c r="AC42" s="1174">
        <f ca="1">OFFSET(AC42,0,-2)+1</f>
        <v>5</v>
      </c>
      <c r="AD42" s="1231">
        <f ca="1">OFFSET(AD42,0,-1)+1</f>
        <v>6</v>
      </c>
      <c r="AE42" s="1231"/>
      <c r="AF42" s="1231">
        <f ca="1">OFFSET(AF42,0,-1)+1</f>
        <v>1</v>
      </c>
      <c r="AG42" s="1231">
        <f ca="1">OFFSET(AG42,0,-1)+1</f>
        <v>2</v>
      </c>
      <c r="AH42" s="1231">
        <f ca="1">OFFSET(AH42,0,-1)+1</f>
        <v>3</v>
      </c>
      <c r="AI42" s="4766">
        <f ca="1">OFFSET(AI42,0,-1)+1</f>
        <v>4</v>
      </c>
      <c r="AJ42" s="4766"/>
      <c r="AK42" s="1231">
        <f ca="1">OFFSET(AK42,0,-2)+1</f>
        <v>5</v>
      </c>
      <c r="AL42" s="1155">
        <f ca="1">OFFSET(AL42,0,-1)</f>
        <v>5</v>
      </c>
      <c r="AM42" s="1174">
        <f ca="1">OFFSET(AM42,0,-1)+1</f>
        <v>6</v>
      </c>
      <c r="AN42" s="438"/>
      <c r="AO42" s="438"/>
      <c r="AP42" s="438"/>
      <c r="AQ42" s="438"/>
      <c r="AR42" s="438"/>
    </row>
    <row r="43" spans="1:44" ht="23.25" customHeight="1">
      <c r="A43" s="1280" t="s">
        <v>215</v>
      </c>
      <c r="B43" s="1280"/>
      <c r="C43" s="1280"/>
      <c r="D43" s="1280"/>
      <c r="E43" s="4759">
        <v>1</v>
      </c>
      <c r="F43" s="1280"/>
      <c r="G43" s="1280"/>
      <c r="H43" s="1280"/>
      <c r="I43" s="1280"/>
      <c r="J43" s="1280"/>
      <c r="K43" s="1280"/>
      <c r="L43" s="1281"/>
      <c r="M43" s="1282"/>
      <c r="N43" s="1282"/>
      <c r="O43" s="1282"/>
      <c r="P43" s="287"/>
      <c r="Q43" s="286"/>
      <c r="R43" s="281"/>
      <c r="S43" s="1133">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3.25" customHeight="1">
      <c r="A44" s="1280" t="s">
        <v>215</v>
      </c>
      <c r="B44" s="1280" t="s">
        <v>216</v>
      </c>
      <c r="C44" s="1280"/>
      <c r="D44" s="1280"/>
      <c r="E44" s="4760"/>
      <c r="F44" s="4759">
        <v>1</v>
      </c>
      <c r="G44" s="1280"/>
      <c r="H44" s="1280"/>
      <c r="I44" s="1280"/>
      <c r="J44" s="1280"/>
      <c r="K44" s="1280"/>
      <c r="L44" s="1281"/>
      <c r="M44" s="1282"/>
      <c r="N44" s="1282"/>
      <c r="O44" s="1282"/>
      <c r="P44" s="449"/>
      <c r="Q44" s="278"/>
      <c r="R44" s="279"/>
      <c r="S44" s="1133"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215</v>
      </c>
      <c r="B45" s="1280" t="s">
        <v>216</v>
      </c>
      <c r="C45" s="1280" t="s">
        <v>217</v>
      </c>
      <c r="D45" s="1280"/>
      <c r="E45" s="4760"/>
      <c r="F45" s="4760"/>
      <c r="G45" s="4759">
        <v>1</v>
      </c>
      <c r="H45" s="1280"/>
      <c r="I45" s="1280"/>
      <c r="J45" s="1280"/>
      <c r="K45" s="1280"/>
      <c r="L45" s="1281"/>
      <c r="M45" s="1282"/>
      <c r="N45" s="1282"/>
      <c r="O45" s="1282"/>
      <c r="P45" s="280"/>
      <c r="Q45" s="278"/>
      <c r="R45" s="279"/>
      <c r="S45" s="1133"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3.25" customHeight="1">
      <c r="A46" s="1280" t="s">
        <v>215</v>
      </c>
      <c r="B46" s="1280" t="s">
        <v>216</v>
      </c>
      <c r="C46" s="1280" t="s">
        <v>217</v>
      </c>
      <c r="D46" s="1280" t="s">
        <v>218</v>
      </c>
      <c r="E46" s="4760"/>
      <c r="F46" s="4760"/>
      <c r="G46" s="4760"/>
      <c r="H46" s="4759">
        <v>1</v>
      </c>
      <c r="I46" s="1280"/>
      <c r="J46" s="1280"/>
      <c r="K46" s="1280"/>
      <c r="L46" s="1281"/>
      <c r="M46" s="1282"/>
      <c r="N46" s="1282"/>
      <c r="O46" s="1282"/>
      <c r="P46" s="280"/>
      <c r="Q46" s="278"/>
      <c r="R46" s="279"/>
      <c r="S46" s="1133"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ht="47.25" customHeight="1">
      <c r="A47" s="1280" t="s">
        <v>215</v>
      </c>
      <c r="B47" s="1280" t="s">
        <v>216</v>
      </c>
      <c r="C47" s="1280" t="s">
        <v>217</v>
      </c>
      <c r="D47" s="1280" t="s">
        <v>218</v>
      </c>
      <c r="E47" s="4760"/>
      <c r="F47" s="4760"/>
      <c r="G47" s="4760"/>
      <c r="H47" s="4760"/>
      <c r="I47" s="4757" t="str">
        <f>S46&amp;".1"</f>
        <v>....1</v>
      </c>
      <c r="J47" s="1280"/>
      <c r="K47" s="1280"/>
      <c r="L47" s="1281" t="s">
        <v>544</v>
      </c>
      <c r="P47" s="4758">
        <v>1</v>
      </c>
      <c r="Q47" s="1127"/>
      <c r="R47" s="282"/>
      <c r="S47" s="1133" t="str">
        <f>$I47</f>
        <v>....1</v>
      </c>
      <c r="T47" s="204" t="s">
        <v>545</v>
      </c>
      <c r="U47" s="219"/>
      <c r="V47" s="4748"/>
      <c r="W47" s="4749"/>
      <c r="X47" s="4749"/>
      <c r="Y47" s="4749"/>
      <c r="Z47" s="4749"/>
      <c r="AA47" s="4749"/>
      <c r="AB47" s="4749"/>
      <c r="AC47" s="4750"/>
      <c r="AD47" s="4748"/>
      <c r="AE47" s="4749"/>
      <c r="AF47" s="4749"/>
      <c r="AG47" s="4749"/>
      <c r="AH47" s="4749"/>
      <c r="AI47" s="4749"/>
      <c r="AJ47" s="4749"/>
      <c r="AK47" s="4749"/>
      <c r="AL47" s="4750"/>
      <c r="AM47" s="1178" t="s">
        <v>546</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0" t="s">
        <v>215</v>
      </c>
      <c r="B48" s="1280" t="s">
        <v>216</v>
      </c>
      <c r="C48" s="1280" t="s">
        <v>217</v>
      </c>
      <c r="D48" s="1280" t="s">
        <v>218</v>
      </c>
      <c r="E48" s="4760"/>
      <c r="F48" s="4760"/>
      <c r="G48" s="4760"/>
      <c r="H48" s="4760"/>
      <c r="I48" s="4780"/>
      <c r="J48" s="4757" t="str">
        <f>I47&amp;".1"</f>
        <v>....1.1</v>
      </c>
      <c r="K48" s="1280"/>
      <c r="L48" s="1281" t="s">
        <v>547</v>
      </c>
      <c r="P48" s="4758"/>
      <c r="Q48" s="4758">
        <v>1</v>
      </c>
      <c r="R48" s="283"/>
      <c r="S48" s="1133" t="str">
        <f>$J48</f>
        <v>....1.1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3.25" customHeight="1">
      <c r="A49" s="1280" t="s">
        <v>215</v>
      </c>
      <c r="B49" s="1280" t="s">
        <v>216</v>
      </c>
      <c r="C49" s="1280" t="s">
        <v>217</v>
      </c>
      <c r="D49" s="1280" t="s">
        <v>218</v>
      </c>
      <c r="E49" s="4760"/>
      <c r="F49" s="4760"/>
      <c r="G49" s="4760"/>
      <c r="H49" s="4760"/>
      <c r="I49" s="4780"/>
      <c r="J49" s="4780"/>
      <c r="K49" s="4757" t="str">
        <f>J48&amp;".1"</f>
        <v>....1.1.1</v>
      </c>
      <c r="L49" s="1281" t="s">
        <v>550</v>
      </c>
      <c r="P49" s="4758"/>
      <c r="Q49" s="4758"/>
      <c r="R49" s="283">
        <v>1</v>
      </c>
      <c r="S49" s="1133" t="str">
        <f>$K49</f>
        <v>....1.1.1</v>
      </c>
      <c r="T49" s="1265"/>
      <c r="U49" s="219"/>
      <c r="V49" s="669"/>
      <c r="W49" s="251"/>
      <c r="X49" s="669"/>
      <c r="Y49" s="1177"/>
      <c r="Z49" s="4762"/>
      <c r="AA49" s="4608" t="s">
        <v>65</v>
      </c>
      <c r="AB49" s="4762"/>
      <c r="AC49" s="4608" t="s">
        <v>65</v>
      </c>
      <c r="AD49" s="669"/>
      <c r="AE49" s="251"/>
      <c r="AF49" s="669"/>
      <c r="AG49" s="1177"/>
      <c r="AH49" s="4762"/>
      <c r="AI49" s="4608" t="s">
        <v>65</v>
      </c>
      <c r="AJ49" s="4781"/>
      <c r="AK49" s="4608" t="s">
        <v>65</v>
      </c>
      <c r="AL49" s="1266"/>
      <c r="AM49" s="4754" t="s">
        <v>551</v>
      </c>
      <c r="AN49" s="438" t="e">
        <f ca="1">STRCHECKDATE(V50:AL50)</f>
        <v>#NAME?</v>
      </c>
      <c r="AO49" s="427"/>
      <c r="AP49" s="427" t="str">
        <f t="shared" si="1"/>
        <v/>
      </c>
      <c r="AQ49" s="427"/>
      <c r="AR49" s="427"/>
    </row>
    <row r="50" spans="1:44" ht="0.75" customHeight="1">
      <c r="A50" s="1280" t="s">
        <v>215</v>
      </c>
      <c r="B50" s="1280" t="s">
        <v>216</v>
      </c>
      <c r="C50" s="1280" t="s">
        <v>217</v>
      </c>
      <c r="D50" s="1280" t="s">
        <v>218</v>
      </c>
      <c r="E50" s="4760"/>
      <c r="F50" s="4760"/>
      <c r="G50" s="4760"/>
      <c r="H50" s="4760"/>
      <c r="I50" s="4780"/>
      <c r="J50" s="4780"/>
      <c r="K50" s="4757"/>
      <c r="L50" s="1281"/>
      <c r="P50" s="4758"/>
      <c r="Q50" s="4758"/>
      <c r="R50" s="283"/>
      <c r="S50" s="1131"/>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215</v>
      </c>
      <c r="B51" s="1280" t="s">
        <v>216</v>
      </c>
      <c r="C51" s="1280" t="s">
        <v>217</v>
      </c>
      <c r="D51" s="1280" t="s">
        <v>218</v>
      </c>
      <c r="E51" s="4760"/>
      <c r="F51" s="4760"/>
      <c r="G51" s="4760"/>
      <c r="H51" s="4760"/>
      <c r="I51" s="4780"/>
      <c r="J51" s="4757"/>
      <c r="K51" s="1280"/>
      <c r="L51" s="1281"/>
      <c r="P51" s="4758"/>
      <c r="Q51" s="4758"/>
      <c r="R51" s="282"/>
      <c r="S51" s="1199"/>
      <c r="T51" s="207"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215</v>
      </c>
      <c r="B52" s="1280" t="s">
        <v>216</v>
      </c>
      <c r="C52" s="1280" t="s">
        <v>217</v>
      </c>
      <c r="D52" s="1280" t="s">
        <v>218</v>
      </c>
      <c r="E52" s="4760"/>
      <c r="F52" s="4760"/>
      <c r="G52" s="4760"/>
      <c r="H52" s="4760"/>
      <c r="I52" s="4757"/>
      <c r="J52" s="1280"/>
      <c r="K52" s="1280"/>
      <c r="L52" s="1281"/>
      <c r="P52" s="4758"/>
      <c r="Q52" s="1127"/>
      <c r="R52" s="282"/>
      <c r="S52" s="1199"/>
      <c r="T52" s="206"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215</v>
      </c>
      <c r="B53" s="1280" t="s">
        <v>216</v>
      </c>
      <c r="C53" s="1280" t="s">
        <v>217</v>
      </c>
      <c r="D53" s="1280" t="s">
        <v>218</v>
      </c>
      <c r="E53" s="4760"/>
      <c r="F53" s="4760"/>
      <c r="G53" s="4760"/>
      <c r="H53" s="4759"/>
      <c r="I53" s="1280"/>
      <c r="J53" s="1280"/>
      <c r="K53" s="1280"/>
      <c r="L53" s="1281"/>
      <c r="M53" s="1282"/>
      <c r="N53" s="1282"/>
      <c r="O53" s="463"/>
      <c r="P53" s="286"/>
      <c r="Q53" s="305"/>
      <c r="R53" s="281"/>
      <c r="S53" s="1199"/>
      <c r="T53" s="293" t="s">
        <v>554</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46" customFormat="1" ht="0.75" customHeight="1">
      <c r="A54" s="1261" t="s">
        <v>215</v>
      </c>
      <c r="B54" s="1261" t="s">
        <v>216</v>
      </c>
      <c r="C54" s="1261" t="s">
        <v>217</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75" customHeight="1">
      <c r="A55" s="1261" t="s">
        <v>215</v>
      </c>
      <c r="B55" s="1261" t="s">
        <v>216</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75" customHeight="1">
      <c r="A56" s="1261" t="s">
        <v>215</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64.5" customHeight="1">
      <c r="O60" s="463"/>
      <c r="P60" s="122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14.25" customHeight="1">
      <c r="O61" s="463"/>
    </row>
    <row r="62" spans="1:44" ht="18" customHeight="1">
      <c r="O62" s="463"/>
      <c r="P62" s="1246"/>
      <c r="S62" s="1165"/>
      <c r="T62" s="4779"/>
      <c r="U62" s="4779"/>
      <c r="V62" s="4779"/>
      <c r="W62" s="4779"/>
      <c r="X62" s="4779"/>
      <c r="Y62" s="4779"/>
      <c r="Z62" s="4779"/>
      <c r="AA62" s="4779"/>
      <c r="AB62" s="4779"/>
      <c r="AC62" s="4779"/>
      <c r="AD62" s="4779"/>
      <c r="AE62" s="4779"/>
      <c r="AF62" s="4779"/>
      <c r="AG62" s="4779"/>
      <c r="AH62" s="4779"/>
      <c r="AI62" s="4779"/>
      <c r="AJ62" s="4779"/>
      <c r="AK62" s="4779"/>
      <c r="AL62" s="4779"/>
      <c r="AM62" s="4779"/>
    </row>
    <row r="63" spans="1:44" ht="18" customHeight="1">
      <c r="O63" s="463"/>
      <c r="P63" s="1246"/>
      <c r="T63" s="4779"/>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27.75" customHeight="1">
      <c r="O64" s="463"/>
      <c r="P64" s="1246"/>
      <c r="S64" s="1165"/>
      <c r="T64" s="4779"/>
      <c r="U64" s="4779"/>
      <c r="V64" s="4779"/>
      <c r="W64" s="4779"/>
      <c r="X64" s="4779"/>
      <c r="Y64" s="4779"/>
      <c r="Z64" s="4779"/>
      <c r="AA64" s="4779"/>
      <c r="AB64" s="4779"/>
      <c r="AC64" s="4779"/>
      <c r="AD64" s="4779"/>
      <c r="AE64" s="4779"/>
      <c r="AF64" s="4779"/>
      <c r="AG64" s="4779"/>
      <c r="AH64" s="4779"/>
      <c r="AI64" s="4779"/>
      <c r="AJ64" s="4779"/>
      <c r="AK64" s="4779"/>
      <c r="AL64" s="4779"/>
      <c r="AM64" s="4779"/>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2" customWidth="1"/>
    <col min="17" max="18" width="3.7109375" style="1954" customWidth="1"/>
    <col min="19" max="19" width="12.7109375" style="1955" customWidth="1"/>
    <col min="20" max="20" width="32" style="1921" customWidth="1"/>
    <col min="21" max="21" width="0.140625" style="1921" customWidth="1"/>
    <col min="22" max="22" width="24.7109375" style="1921" hidden="1" customWidth="1"/>
    <col min="23" max="23" width="0.140625" style="1921" hidden="1" customWidth="1"/>
    <col min="24" max="25" width="24.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24.7109375" style="1921" customWidth="1"/>
    <col min="31" max="31" width="0.140625" style="1921" customWidth="1"/>
    <col min="32" max="33" width="24.710937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54"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50"/>
      <c r="Q3" s="278"/>
      <c r="R3" s="279"/>
      <c r="S3" s="1254"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54"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54"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47.25" hidden="1" customHeight="1">
      <c r="A6" s="1280"/>
      <c r="B6" s="1280"/>
      <c r="C6" s="1280"/>
      <c r="D6" s="1280"/>
      <c r="E6" s="4760"/>
      <c r="F6" s="4760"/>
      <c r="G6" s="4760"/>
      <c r="H6" s="4760"/>
      <c r="I6" s="4757" t="e">
        <f>S5&amp;".1"</f>
        <v>#N/A</v>
      </c>
      <c r="J6" s="1280"/>
      <c r="K6" s="1280"/>
      <c r="L6" s="1281" t="s">
        <v>544</v>
      </c>
      <c r="M6" s="463"/>
      <c r="P6" s="4758">
        <v>1</v>
      </c>
      <c r="Q6" s="1249"/>
      <c r="R6" s="282"/>
      <c r="S6" s="1254" t="e">
        <f>$I6</f>
        <v>#N/A</v>
      </c>
      <c r="T6" s="204" t="s">
        <v>545</v>
      </c>
      <c r="U6" s="219"/>
      <c r="V6" s="4748"/>
      <c r="W6" s="4749"/>
      <c r="X6" s="4749"/>
      <c r="Y6" s="4749"/>
      <c r="Z6" s="4749"/>
      <c r="AA6" s="4749"/>
      <c r="AB6" s="4749"/>
      <c r="AC6" s="4750"/>
      <c r="AD6" s="4748"/>
      <c r="AE6" s="4749"/>
      <c r="AF6" s="4749"/>
      <c r="AG6" s="4749"/>
      <c r="AH6" s="4749"/>
      <c r="AI6" s="4749"/>
      <c r="AJ6" s="4749"/>
      <c r="AK6" s="4749"/>
      <c r="AL6" s="4750"/>
      <c r="AM6" s="1178" t="s">
        <v>546</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54"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54" t="e">
        <f>$K8</f>
        <v>#N/A</v>
      </c>
      <c r="T8" s="1265"/>
      <c r="U8" s="219"/>
      <c r="V8" s="669"/>
      <c r="W8" s="251"/>
      <c r="X8" s="669"/>
      <c r="Y8" s="1177"/>
      <c r="Z8" s="4762"/>
      <c r="AA8" s="4608" t="s">
        <v>65</v>
      </c>
      <c r="AB8" s="4762"/>
      <c r="AC8" s="4608" t="s">
        <v>65</v>
      </c>
      <c r="AD8" s="669"/>
      <c r="AE8" s="251"/>
      <c r="AF8" s="669"/>
      <c r="AG8" s="1177"/>
      <c r="AH8" s="4762"/>
      <c r="AI8" s="4608" t="s">
        <v>65</v>
      </c>
      <c r="AJ8" s="4762"/>
      <c r="AK8" s="4608" t="s">
        <v>65</v>
      </c>
      <c r="AL8" s="251"/>
      <c r="AM8" s="4754" t="s">
        <v>551</v>
      </c>
      <c r="AN8" s="438" t="e">
        <f ca="1">STRCHECKDATE(V9:AL9)</f>
        <v>#NAME?</v>
      </c>
      <c r="AO8" s="427"/>
      <c r="AP8" s="427" t="str">
        <f t="shared" si="0"/>
        <v/>
      </c>
      <c r="AQ8" s="427"/>
      <c r="AR8" s="427"/>
    </row>
    <row r="9" spans="1:44" ht="0.75" hidden="1" customHeight="1">
      <c r="A9" s="1280"/>
      <c r="B9" s="1280"/>
      <c r="C9" s="1280"/>
      <c r="D9" s="1280"/>
      <c r="E9" s="4760"/>
      <c r="F9" s="4760"/>
      <c r="G9" s="4760"/>
      <c r="H9" s="4760"/>
      <c r="I9" s="4780"/>
      <c r="J9" s="4780"/>
      <c r="K9" s="4757"/>
      <c r="L9" s="1281"/>
      <c r="M9" s="463"/>
      <c r="N9" s="1283"/>
      <c r="O9" s="1283"/>
      <c r="P9" s="4758"/>
      <c r="Q9" s="4758"/>
      <c r="R9" s="283"/>
      <c r="S9" s="1260"/>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7"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4760"/>
      <c r="F11" s="4760"/>
      <c r="G11" s="4760"/>
      <c r="H11" s="4760"/>
      <c r="I11" s="4757"/>
      <c r="J11" s="1280"/>
      <c r="K11" s="1280"/>
      <c r="L11" s="1281"/>
      <c r="M11" s="463"/>
      <c r="P11" s="4758"/>
      <c r="Q11" s="1249"/>
      <c r="R11" s="282"/>
      <c r="S11" s="1199"/>
      <c r="T11" s="206"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199"/>
      <c r="T12" s="293" t="s">
        <v>554</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46" customFormat="1" ht="0.7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0.7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0.7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4764"/>
      <c r="AI17" s="4765" t="s">
        <v>65</v>
      </c>
      <c r="AJ17" s="4764"/>
      <c r="AK17" s="4765" t="s">
        <v>65</v>
      </c>
    </row>
    <row r="18" spans="1:44" ht="14.25" hidden="1" customHeight="1">
      <c r="AD18" s="1277"/>
      <c r="AE18" s="1277"/>
      <c r="AF18" s="1277"/>
      <c r="AG18" s="255" t="str">
        <f>AH17&amp;"-"&amp;AJ17</f>
        <v>-</v>
      </c>
      <c r="AH18" s="4765"/>
      <c r="AI18" s="4765"/>
      <c r="AJ18" s="4765"/>
      <c r="AK18" s="4765"/>
    </row>
    <row r="19" spans="1:44" ht="14.25" hidden="1" customHeight="1">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14.2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47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743"/>
      <c r="U26" s="4743"/>
      <c r="V26" s="4743"/>
      <c r="W26" s="4743"/>
      <c r="X26" s="4743"/>
      <c r="Y26" s="4743"/>
      <c r="Z26" s="4743"/>
      <c r="AA26" s="4743"/>
      <c r="AB26" s="4743"/>
      <c r="AC26" s="4743"/>
      <c r="AD26" s="4743"/>
      <c r="AE26" s="4743"/>
      <c r="AF26" s="4743"/>
      <c r="AG26" s="4743"/>
      <c r="AH26" s="4743"/>
      <c r="AI26" s="4743"/>
      <c r="AJ26" s="474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18.7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69"/>
      <c r="Y39" s="4769"/>
      <c r="Z39" s="4769"/>
      <c r="AA39" s="4769"/>
      <c r="AB39" s="4770"/>
      <c r="AC39" s="4771" t="s">
        <v>569</v>
      </c>
      <c r="AD39" s="4768" t="s">
        <v>568</v>
      </c>
      <c r="AE39" s="4769"/>
      <c r="AF39" s="4769"/>
      <c r="AG39" s="4769"/>
      <c r="AH39" s="4769"/>
      <c r="AI39" s="4769"/>
      <c r="AJ39" s="4770"/>
      <c r="AK39" s="4771" t="s">
        <v>570</v>
      </c>
      <c r="AL39" s="4774" t="s">
        <v>571</v>
      </c>
      <c r="AM39" s="4627"/>
    </row>
    <row r="40" spans="1:44" ht="33.75" customHeight="1">
      <c r="Q40" s="306"/>
      <c r="R40" s="306"/>
      <c r="S40" s="4767"/>
      <c r="T40" s="4719"/>
      <c r="U40" s="939"/>
      <c r="V40" s="4689" t="s">
        <v>572</v>
      </c>
      <c r="W40" s="4777" t="s">
        <v>573</v>
      </c>
      <c r="X40" s="4598" t="s">
        <v>574</v>
      </c>
      <c r="Y40" s="4597"/>
      <c r="Z40" s="4598" t="s">
        <v>587</v>
      </c>
      <c r="AA40" s="4604"/>
      <c r="AB40" s="4597"/>
      <c r="AC40" s="4772"/>
      <c r="AD40" s="4689" t="s">
        <v>572</v>
      </c>
      <c r="AE40" s="4777" t="s">
        <v>573</v>
      </c>
      <c r="AF40" s="4598" t="s">
        <v>574</v>
      </c>
      <c r="AG40" s="4597"/>
      <c r="AH40" s="4598" t="s">
        <v>575</v>
      </c>
      <c r="AI40" s="4604"/>
      <c r="AJ40" s="4597"/>
      <c r="AK40" s="4772"/>
      <c r="AL40" s="4775"/>
      <c r="AM40" s="4627"/>
    </row>
    <row r="41" spans="1:44" ht="33.7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Q41" s="306"/>
      <c r="R41" s="306"/>
      <c r="S41" s="4767"/>
      <c r="T41" s="4719"/>
      <c r="U41" s="221"/>
      <c r="V41" s="4738"/>
      <c r="W41" s="4778"/>
      <c r="X41" s="1129" t="s">
        <v>583</v>
      </c>
      <c r="Y41" s="1129" t="s">
        <v>584</v>
      </c>
      <c r="Z41" s="1256" t="s">
        <v>585</v>
      </c>
      <c r="AA41" s="4727" t="s">
        <v>586</v>
      </c>
      <c r="AB41" s="4729"/>
      <c r="AC41" s="4773"/>
      <c r="AD41" s="4738"/>
      <c r="AE41" s="4778"/>
      <c r="AF41" s="1129" t="s">
        <v>583</v>
      </c>
      <c r="AG41" s="1129" t="s">
        <v>584</v>
      </c>
      <c r="AH41" s="1256" t="s">
        <v>585</v>
      </c>
      <c r="AI41" s="4727" t="s">
        <v>586</v>
      </c>
      <c r="AJ41" s="4729"/>
      <c r="AK41" s="4773"/>
      <c r="AL41" s="4776"/>
      <c r="AM41" s="46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253">
        <f ca="1">OFFSET(V42,0,-1)+1</f>
        <v>3</v>
      </c>
      <c r="W42" s="1253"/>
      <c r="X42" s="1253">
        <f ca="1">OFFSET(X42,0,-1)+1</f>
        <v>1</v>
      </c>
      <c r="Y42" s="1253">
        <f ca="1">OFFSET(Y42,0,-1)+1</f>
        <v>2</v>
      </c>
      <c r="Z42" s="1253">
        <f ca="1">OFFSET(Z42,0,-1)+1</f>
        <v>3</v>
      </c>
      <c r="AA42" s="4766">
        <f ca="1">OFFSET(AA42,0,-1)+1</f>
        <v>4</v>
      </c>
      <c r="AB42" s="4766"/>
      <c r="AC42" s="1253">
        <f ca="1">OFFSET(AC42,0,-2)+1</f>
        <v>5</v>
      </c>
      <c r="AD42" s="1253">
        <f ca="1">OFFSET(AD42,0,-1)+1</f>
        <v>6</v>
      </c>
      <c r="AE42" s="1253"/>
      <c r="AF42" s="1253">
        <f ca="1">OFFSET(AF42,0,-1)+1</f>
        <v>1</v>
      </c>
      <c r="AG42" s="1253">
        <f ca="1">OFFSET(AG42,0,-1)+1</f>
        <v>2</v>
      </c>
      <c r="AH42" s="1253">
        <f ca="1">OFFSET(AH42,0,-1)+1</f>
        <v>3</v>
      </c>
      <c r="AI42" s="4766">
        <f ca="1">OFFSET(AI42,0,-1)+1</f>
        <v>4</v>
      </c>
      <c r="AJ42" s="4766"/>
      <c r="AK42" s="1253">
        <f ca="1">OFFSET(AK42,0,-2)+1</f>
        <v>5</v>
      </c>
      <c r="AL42" s="1155">
        <f ca="1">OFFSET(AL42,0,-1)</f>
        <v>5</v>
      </c>
      <c r="AM42" s="1253">
        <f ca="1">OFFSET(AM42,0,-1)+1</f>
        <v>6</v>
      </c>
      <c r="AN42" s="438"/>
      <c r="AO42" s="438"/>
      <c r="AP42" s="438"/>
      <c r="AQ42" s="438"/>
      <c r="AR42" s="438"/>
    </row>
    <row r="43" spans="1:44" ht="21" customHeight="1">
      <c r="A43" s="1280" t="s">
        <v>221</v>
      </c>
      <c r="B43" s="1280"/>
      <c r="C43" s="1280"/>
      <c r="D43" s="1280"/>
      <c r="E43" s="475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221</v>
      </c>
      <c r="B44" s="1280" t="s">
        <v>222</v>
      </c>
      <c r="C44" s="1280"/>
      <c r="D44" s="1280"/>
      <c r="E44" s="4760"/>
      <c r="F44" s="4759">
        <v>1</v>
      </c>
      <c r="G44" s="1280"/>
      <c r="H44" s="1280"/>
      <c r="I44" s="1280"/>
      <c r="J44" s="1280"/>
      <c r="K44" s="1280"/>
      <c r="L44" s="1281"/>
      <c r="M44" s="1282"/>
      <c r="N44" s="1282"/>
      <c r="O44" s="1282"/>
      <c r="P44" s="1250"/>
      <c r="Q44" s="278"/>
      <c r="R44" s="279"/>
      <c r="S44" s="1254"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221</v>
      </c>
      <c r="B45" s="1280" t="s">
        <v>222</v>
      </c>
      <c r="C45" s="1280" t="s">
        <v>223</v>
      </c>
      <c r="D45" s="1280"/>
      <c r="E45" s="4760"/>
      <c r="F45" s="4760"/>
      <c r="G45" s="4759">
        <v>1</v>
      </c>
      <c r="H45" s="1280"/>
      <c r="I45" s="1280"/>
      <c r="J45" s="1280"/>
      <c r="K45" s="1280"/>
      <c r="L45" s="1281"/>
      <c r="M45" s="1282"/>
      <c r="N45" s="1282"/>
      <c r="O45" s="1282"/>
      <c r="P45" s="280"/>
      <c r="Q45" s="278"/>
      <c r="R45" s="279"/>
      <c r="S45" s="1254"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1" customHeight="1">
      <c r="A46" s="1280" t="s">
        <v>221</v>
      </c>
      <c r="B46" s="1280" t="s">
        <v>222</v>
      </c>
      <c r="C46" s="1280" t="s">
        <v>223</v>
      </c>
      <c r="D46" s="1280" t="s">
        <v>224</v>
      </c>
      <c r="E46" s="4760"/>
      <c r="F46" s="4760"/>
      <c r="G46" s="4760"/>
      <c r="H46" s="4759">
        <v>1</v>
      </c>
      <c r="I46" s="1280"/>
      <c r="J46" s="1280"/>
      <c r="K46" s="1280"/>
      <c r="L46" s="1281"/>
      <c r="M46" s="1282"/>
      <c r="N46" s="1282"/>
      <c r="O46" s="1282"/>
      <c r="P46" s="280"/>
      <c r="Q46" s="278"/>
      <c r="R46" s="279"/>
      <c r="S46" s="1254"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ht="47.25" customHeight="1">
      <c r="A47" s="1280" t="s">
        <v>221</v>
      </c>
      <c r="B47" s="1280" t="s">
        <v>222</v>
      </c>
      <c r="C47" s="1280" t="s">
        <v>223</v>
      </c>
      <c r="D47" s="1280" t="s">
        <v>224</v>
      </c>
      <c r="E47" s="4760"/>
      <c r="F47" s="4760"/>
      <c r="G47" s="4760"/>
      <c r="H47" s="4760"/>
      <c r="I47" s="4757" t="str">
        <f>S46&amp;".1"</f>
        <v>....1</v>
      </c>
      <c r="J47" s="1280"/>
      <c r="K47" s="1280"/>
      <c r="L47" s="1281" t="s">
        <v>544</v>
      </c>
      <c r="P47" s="4758">
        <v>1</v>
      </c>
      <c r="Q47" s="1249"/>
      <c r="R47" s="282"/>
      <c r="S47" s="1254" t="str">
        <f>$I47</f>
        <v>....1</v>
      </c>
      <c r="T47" s="204" t="s">
        <v>545</v>
      </c>
      <c r="U47" s="219"/>
      <c r="V47" s="4748"/>
      <c r="W47" s="4749"/>
      <c r="X47" s="4749"/>
      <c r="Y47" s="4749"/>
      <c r="Z47" s="4749"/>
      <c r="AA47" s="4749"/>
      <c r="AB47" s="4749"/>
      <c r="AC47" s="4750"/>
      <c r="AD47" s="4748"/>
      <c r="AE47" s="4749"/>
      <c r="AF47" s="4749"/>
      <c r="AG47" s="4749"/>
      <c r="AH47" s="4749"/>
      <c r="AI47" s="4749"/>
      <c r="AJ47" s="4749"/>
      <c r="AK47" s="4749"/>
      <c r="AL47" s="4750"/>
      <c r="AM47" s="1178" t="s">
        <v>546</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221</v>
      </c>
      <c r="B48" s="1280" t="s">
        <v>222</v>
      </c>
      <c r="C48" s="1280" t="s">
        <v>223</v>
      </c>
      <c r="D48" s="1280" t="s">
        <v>224</v>
      </c>
      <c r="E48" s="4760"/>
      <c r="F48" s="4760"/>
      <c r="G48" s="4760"/>
      <c r="H48" s="4760"/>
      <c r="I48" s="4780"/>
      <c r="J48" s="4757" t="str">
        <f>I47&amp;".1"</f>
        <v>....1.1</v>
      </c>
      <c r="K48" s="1280"/>
      <c r="L48" s="1281" t="s">
        <v>547</v>
      </c>
      <c r="P48" s="4758"/>
      <c r="Q48" s="4758">
        <v>1</v>
      </c>
      <c r="R48" s="283"/>
      <c r="S48" s="1254" t="str">
        <f>$J48</f>
        <v>....1.1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1" customHeight="1">
      <c r="A49" s="1280" t="s">
        <v>221</v>
      </c>
      <c r="B49" s="1280" t="s">
        <v>222</v>
      </c>
      <c r="C49" s="1280" t="s">
        <v>223</v>
      </c>
      <c r="D49" s="1280" t="s">
        <v>224</v>
      </c>
      <c r="E49" s="4760"/>
      <c r="F49" s="4760"/>
      <c r="G49" s="4760"/>
      <c r="H49" s="4760"/>
      <c r="I49" s="4780"/>
      <c r="J49" s="4780"/>
      <c r="K49" s="4757" t="str">
        <f>J48&amp;".1"</f>
        <v>....1.1.1</v>
      </c>
      <c r="L49" s="1281" t="s">
        <v>550</v>
      </c>
      <c r="P49" s="4758"/>
      <c r="Q49" s="4758"/>
      <c r="R49" s="283">
        <v>1</v>
      </c>
      <c r="S49" s="1254" t="str">
        <f>$K49</f>
        <v>....1.1.1</v>
      </c>
      <c r="T49" s="1265"/>
      <c r="U49" s="219"/>
      <c r="V49" s="669"/>
      <c r="W49" s="251"/>
      <c r="X49" s="669"/>
      <c r="Y49" s="1177"/>
      <c r="Z49" s="4762"/>
      <c r="AA49" s="4608" t="s">
        <v>65</v>
      </c>
      <c r="AB49" s="4762"/>
      <c r="AC49" s="4608" t="s">
        <v>65</v>
      </c>
      <c r="AD49" s="669"/>
      <c r="AE49" s="251"/>
      <c r="AF49" s="669"/>
      <c r="AG49" s="1177"/>
      <c r="AH49" s="4762"/>
      <c r="AI49" s="4608" t="s">
        <v>65</v>
      </c>
      <c r="AJ49" s="4781"/>
      <c r="AK49" s="4608" t="s">
        <v>65</v>
      </c>
      <c r="AL49" s="1266"/>
      <c r="AM49" s="4754" t="s">
        <v>551</v>
      </c>
      <c r="AN49" s="438" t="e">
        <f ca="1">STRCHECKDATE(V50:AL50)</f>
        <v>#NAME?</v>
      </c>
      <c r="AO49" s="427"/>
      <c r="AP49" s="427" t="str">
        <f t="shared" si="1"/>
        <v/>
      </c>
      <c r="AQ49" s="427"/>
      <c r="AR49" s="427"/>
    </row>
    <row r="50" spans="1:44" ht="0.75" customHeight="1">
      <c r="A50" s="1280" t="s">
        <v>221</v>
      </c>
      <c r="B50" s="1280" t="s">
        <v>222</v>
      </c>
      <c r="C50" s="1280" t="s">
        <v>223</v>
      </c>
      <c r="D50" s="1280" t="s">
        <v>224</v>
      </c>
      <c r="E50" s="4760"/>
      <c r="F50" s="4760"/>
      <c r="G50" s="4760"/>
      <c r="H50" s="4760"/>
      <c r="I50" s="4780"/>
      <c r="J50" s="4780"/>
      <c r="K50" s="4757"/>
      <c r="L50" s="1281"/>
      <c r="P50" s="4758"/>
      <c r="Q50" s="4758"/>
      <c r="R50" s="283"/>
      <c r="S50" s="1260"/>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221</v>
      </c>
      <c r="B51" s="1280" t="s">
        <v>222</v>
      </c>
      <c r="C51" s="1280" t="s">
        <v>223</v>
      </c>
      <c r="D51" s="1280" t="s">
        <v>224</v>
      </c>
      <c r="E51" s="4760"/>
      <c r="F51" s="4760"/>
      <c r="G51" s="4760"/>
      <c r="H51" s="4760"/>
      <c r="I51" s="4780"/>
      <c r="J51" s="4757"/>
      <c r="K51" s="1280"/>
      <c r="L51" s="1281"/>
      <c r="P51" s="4758"/>
      <c r="Q51" s="4758"/>
      <c r="R51" s="282"/>
      <c r="S51" s="1199"/>
      <c r="T51" s="207"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221</v>
      </c>
      <c r="B52" s="1280" t="s">
        <v>222</v>
      </c>
      <c r="C52" s="1280" t="s">
        <v>223</v>
      </c>
      <c r="D52" s="1280" t="s">
        <v>224</v>
      </c>
      <c r="E52" s="4760"/>
      <c r="F52" s="4760"/>
      <c r="G52" s="4760"/>
      <c r="H52" s="4760"/>
      <c r="I52" s="4757"/>
      <c r="J52" s="1280"/>
      <c r="K52" s="1280"/>
      <c r="L52" s="1281"/>
      <c r="P52" s="4758"/>
      <c r="Q52" s="1249"/>
      <c r="R52" s="282"/>
      <c r="S52" s="1199"/>
      <c r="T52" s="206"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221</v>
      </c>
      <c r="B53" s="1280" t="s">
        <v>222</v>
      </c>
      <c r="C53" s="1280" t="s">
        <v>223</v>
      </c>
      <c r="D53" s="1280" t="s">
        <v>224</v>
      </c>
      <c r="E53" s="4760"/>
      <c r="F53" s="4760"/>
      <c r="G53" s="4760"/>
      <c r="H53" s="4759"/>
      <c r="I53" s="1280"/>
      <c r="J53" s="1280"/>
      <c r="K53" s="1280"/>
      <c r="L53" s="1281"/>
      <c r="M53" s="1282"/>
      <c r="N53" s="1282"/>
      <c r="O53" s="463"/>
      <c r="P53" s="286"/>
      <c r="Q53" s="305"/>
      <c r="R53" s="281"/>
      <c r="S53" s="1199"/>
      <c r="T53" s="293" t="s">
        <v>554</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46" customFormat="1" ht="0.75" customHeight="1">
      <c r="A54" s="1261" t="s">
        <v>221</v>
      </c>
      <c r="B54" s="1261" t="s">
        <v>222</v>
      </c>
      <c r="C54" s="1261" t="s">
        <v>223</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75" customHeight="1">
      <c r="A55" s="1261" t="s">
        <v>221</v>
      </c>
      <c r="B55" s="1261" t="s">
        <v>222</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75" customHeight="1">
      <c r="A56" s="1261" t="s">
        <v>221</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62.25" customHeight="1">
      <c r="O60" s="46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14.25" customHeight="1">
      <c r="O61" s="463"/>
    </row>
    <row r="62" spans="1:44" ht="18" customHeight="1">
      <c r="O62" s="463"/>
      <c r="S62" s="1165"/>
      <c r="T62" s="4779"/>
      <c r="U62" s="4779"/>
      <c r="V62" s="4779"/>
      <c r="W62" s="4779"/>
      <c r="X62" s="4779"/>
      <c r="Y62" s="4779"/>
      <c r="Z62" s="4779"/>
      <c r="AA62" s="4779"/>
      <c r="AB62" s="4779"/>
      <c r="AC62" s="4779"/>
      <c r="AD62" s="4779"/>
      <c r="AE62" s="4779"/>
      <c r="AF62" s="4779"/>
      <c r="AG62" s="4779"/>
      <c r="AH62" s="4779"/>
      <c r="AI62" s="4779"/>
      <c r="AJ62" s="4779"/>
      <c r="AK62" s="4779"/>
      <c r="AL62" s="4779"/>
      <c r="AM62" s="4779"/>
    </row>
    <row r="63" spans="1:44" ht="18" customHeight="1">
      <c r="O63" s="463"/>
      <c r="T63" s="4779"/>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27.75" customHeight="1">
      <c r="O64" s="463"/>
      <c r="S64" s="1165"/>
      <c r="T64" s="4779"/>
      <c r="U64" s="4779"/>
      <c r="V64" s="4779"/>
      <c r="W64" s="4779"/>
      <c r="X64" s="4779"/>
      <c r="Y64" s="4779"/>
      <c r="Z64" s="4779"/>
      <c r="AA64" s="4779"/>
      <c r="AB64" s="4779"/>
      <c r="AC64" s="4779"/>
      <c r="AD64" s="4779"/>
      <c r="AE64" s="4779"/>
      <c r="AF64" s="4779"/>
      <c r="AG64" s="4779"/>
      <c r="AH64" s="4779"/>
      <c r="AI64" s="4779"/>
      <c r="AJ64" s="4779"/>
      <c r="AK64" s="4779"/>
      <c r="AL64" s="4779"/>
      <c r="AM64" s="4779"/>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2" customWidth="1"/>
    <col min="17" max="18" width="3.7109375" style="1954" customWidth="1"/>
    <col min="19" max="19" width="12.7109375" style="1955" customWidth="1"/>
    <col min="20" max="20" width="32" style="1921" customWidth="1"/>
    <col min="21" max="21" width="0.7109375" style="1921" hidden="1" customWidth="1"/>
    <col min="22" max="22" width="1.7109375" style="1921" hidden="1" customWidth="1"/>
    <col min="23" max="23" width="24.7109375" style="1921" hidden="1" customWidth="1"/>
    <col min="24" max="25" width="0.14062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0.140625" style="1921" customWidth="1"/>
    <col min="31" max="31" width="24.7109375" style="1921" customWidth="1"/>
    <col min="32" max="33" width="0.14062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54"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50"/>
      <c r="Q3" s="278"/>
      <c r="R3" s="279"/>
      <c r="S3" s="1254"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54"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54"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47.25" hidden="1" customHeight="1">
      <c r="A6" s="1280"/>
      <c r="B6" s="1280"/>
      <c r="C6" s="1280"/>
      <c r="D6" s="1280"/>
      <c r="E6" s="4760"/>
      <c r="F6" s="4760"/>
      <c r="G6" s="4760"/>
      <c r="H6" s="4760"/>
      <c r="I6" s="4757" t="e">
        <f>S5&amp;".1"</f>
        <v>#N/A</v>
      </c>
      <c r="J6" s="1280"/>
      <c r="K6" s="1280"/>
      <c r="L6" s="1281" t="s">
        <v>544</v>
      </c>
      <c r="M6" s="463"/>
      <c r="P6" s="4758">
        <v>1</v>
      </c>
      <c r="Q6" s="1249"/>
      <c r="R6" s="282"/>
      <c r="S6" s="1254" t="e">
        <f>$I6</f>
        <v>#N/A</v>
      </c>
      <c r="T6" s="204" t="s">
        <v>545</v>
      </c>
      <c r="U6" s="219"/>
      <c r="V6" s="4748"/>
      <c r="W6" s="4749"/>
      <c r="X6" s="4749"/>
      <c r="Y6" s="4749"/>
      <c r="Z6" s="4749"/>
      <c r="AA6" s="4749"/>
      <c r="AB6" s="4749"/>
      <c r="AC6" s="4750"/>
      <c r="AD6" s="4748"/>
      <c r="AE6" s="4749"/>
      <c r="AF6" s="4749"/>
      <c r="AG6" s="4749"/>
      <c r="AH6" s="4749"/>
      <c r="AI6" s="4749"/>
      <c r="AJ6" s="4749"/>
      <c r="AK6" s="4749"/>
      <c r="AL6" s="4750"/>
      <c r="AM6" s="1178" t="s">
        <v>546</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54"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54" t="e">
        <f>$K8</f>
        <v>#N/A</v>
      </c>
      <c r="T8" s="1265"/>
      <c r="U8" s="219"/>
      <c r="V8" s="251"/>
      <c r="W8" s="669"/>
      <c r="X8" s="251"/>
      <c r="Y8" s="319"/>
      <c r="Z8" s="4762"/>
      <c r="AA8" s="4608" t="s">
        <v>65</v>
      </c>
      <c r="AB8" s="4762"/>
      <c r="AC8" s="4608" t="s">
        <v>65</v>
      </c>
      <c r="AD8" s="251"/>
      <c r="AE8" s="669"/>
      <c r="AF8" s="251"/>
      <c r="AG8" s="319"/>
      <c r="AH8" s="4762"/>
      <c r="AI8" s="4608" t="s">
        <v>65</v>
      </c>
      <c r="AJ8" s="4762"/>
      <c r="AK8" s="4608" t="s">
        <v>65</v>
      </c>
      <c r="AL8" s="251"/>
      <c r="AM8" s="4754" t="s">
        <v>551</v>
      </c>
      <c r="AN8" s="438" t="e">
        <f ca="1">STRCHECKDATE(V9:AL9)</f>
        <v>#NAME?</v>
      </c>
      <c r="AO8" s="427"/>
      <c r="AP8" s="427" t="str">
        <f t="shared" si="0"/>
        <v/>
      </c>
      <c r="AQ8" s="427"/>
      <c r="AR8" s="427"/>
    </row>
    <row r="9" spans="1:44" ht="0.75" hidden="1" customHeight="1">
      <c r="A9" s="1280"/>
      <c r="B9" s="1280"/>
      <c r="C9" s="1280"/>
      <c r="D9" s="1280"/>
      <c r="E9" s="4760"/>
      <c r="F9" s="4760"/>
      <c r="G9" s="4760"/>
      <c r="H9" s="4760"/>
      <c r="I9" s="4780"/>
      <c r="J9" s="4780"/>
      <c r="K9" s="4757"/>
      <c r="L9" s="1281"/>
      <c r="M9" s="463"/>
      <c r="N9" s="1283"/>
      <c r="O9" s="1283"/>
      <c r="P9" s="4758"/>
      <c r="Q9" s="4758"/>
      <c r="R9" s="283"/>
      <c r="S9" s="1260"/>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7"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4760"/>
      <c r="F11" s="4760"/>
      <c r="G11" s="4760"/>
      <c r="H11" s="4760"/>
      <c r="I11" s="4757"/>
      <c r="J11" s="1280"/>
      <c r="K11" s="1280"/>
      <c r="L11" s="1281"/>
      <c r="M11" s="463"/>
      <c r="P11" s="4758"/>
      <c r="Q11" s="1249"/>
      <c r="R11" s="282"/>
      <c r="S11" s="1199"/>
      <c r="T11" s="206"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199"/>
      <c r="T12" s="293" t="s">
        <v>554</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46" customFormat="1" ht="0.7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0.7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0.7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4764"/>
      <c r="AI17" s="4765" t="s">
        <v>65</v>
      </c>
      <c r="AJ17" s="4764"/>
      <c r="AK17" s="4765" t="s">
        <v>65</v>
      </c>
    </row>
    <row r="18" spans="1:44" ht="14.25" hidden="1" customHeight="1">
      <c r="AD18" s="1277"/>
      <c r="AE18" s="1277"/>
      <c r="AF18" s="1277"/>
      <c r="AG18" s="255" t="str">
        <f>AH17&amp;"-"&amp;AJ17</f>
        <v>-</v>
      </c>
      <c r="AH18" s="4765"/>
      <c r="AI18" s="4765"/>
      <c r="AJ18" s="4765"/>
      <c r="AK18" s="4765"/>
    </row>
    <row r="19" spans="1:44" ht="14.25" hidden="1" customHeight="1">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33.7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47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743"/>
      <c r="U26" s="4743"/>
      <c r="V26" s="4743"/>
      <c r="W26" s="4743"/>
      <c r="X26" s="4743"/>
      <c r="Y26" s="4743"/>
      <c r="Z26" s="4743"/>
      <c r="AA26" s="4743"/>
      <c r="AB26" s="4743"/>
      <c r="AC26" s="4743"/>
      <c r="AD26" s="4743"/>
      <c r="AE26" s="4743"/>
      <c r="AF26" s="4743"/>
      <c r="AG26" s="4743"/>
      <c r="AH26" s="4743"/>
      <c r="AI26" s="4743"/>
      <c r="AJ26" s="474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18.7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83"/>
      <c r="Y39" s="4783"/>
      <c r="Z39" s="4769"/>
      <c r="AA39" s="4769"/>
      <c r="AB39" s="4770"/>
      <c r="AC39" s="4771" t="s">
        <v>569</v>
      </c>
      <c r="AD39" s="4768" t="s">
        <v>568</v>
      </c>
      <c r="AE39" s="4769"/>
      <c r="AF39" s="4783"/>
      <c r="AG39" s="4783"/>
      <c r="AH39" s="4769"/>
      <c r="AI39" s="4769"/>
      <c r="AJ39" s="4770"/>
      <c r="AK39" s="4771" t="s">
        <v>570</v>
      </c>
      <c r="AL39" s="4774" t="s">
        <v>571</v>
      </c>
      <c r="AM39" s="4627"/>
    </row>
    <row r="40" spans="1:44" ht="23.25" customHeight="1">
      <c r="Q40" s="306"/>
      <c r="R40" s="306"/>
      <c r="S40" s="4767"/>
      <c r="T40" s="4719"/>
      <c r="U40" s="939"/>
      <c r="V40" s="4784" t="s">
        <v>572</v>
      </c>
      <c r="W40" s="4704" t="s">
        <v>573</v>
      </c>
      <c r="X40" s="1293" t="s">
        <v>574</v>
      </c>
      <c r="Y40" s="1293"/>
      <c r="Z40" s="4604" t="s">
        <v>575</v>
      </c>
      <c r="AA40" s="4604"/>
      <c r="AB40" s="4597"/>
      <c r="AC40" s="4772"/>
      <c r="AD40" s="4784" t="s">
        <v>572</v>
      </c>
      <c r="AE40" s="4704" t="s">
        <v>573</v>
      </c>
      <c r="AF40" s="1293" t="s">
        <v>574</v>
      </c>
      <c r="AG40" s="1293"/>
      <c r="AH40" s="4604" t="s">
        <v>575</v>
      </c>
      <c r="AI40" s="4604"/>
      <c r="AJ40" s="4597"/>
      <c r="AK40" s="4772"/>
      <c r="AL40" s="4775"/>
      <c r="AM40" s="4627"/>
    </row>
    <row r="41" spans="1:44" s="1956" customFormat="1" ht="23.2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M41" s="1279"/>
      <c r="N41" s="1279"/>
      <c r="O41" s="1279"/>
      <c r="P41" s="1246"/>
      <c r="Q41" s="306"/>
      <c r="R41" s="306"/>
      <c r="S41" s="4767"/>
      <c r="T41" s="4719"/>
      <c r="U41" s="221"/>
      <c r="V41" s="4785"/>
      <c r="W41" s="4709"/>
      <c r="X41" s="1290" t="s">
        <v>583</v>
      </c>
      <c r="Y41" s="1290" t="s">
        <v>584</v>
      </c>
      <c r="Z41" s="1252" t="s">
        <v>585</v>
      </c>
      <c r="AA41" s="4727" t="s">
        <v>586</v>
      </c>
      <c r="AB41" s="4729"/>
      <c r="AC41" s="4773"/>
      <c r="AD41" s="4785"/>
      <c r="AE41" s="4709"/>
      <c r="AF41" s="1290" t="s">
        <v>583</v>
      </c>
      <c r="AG41" s="1290" t="s">
        <v>584</v>
      </c>
      <c r="AH41" s="1252" t="s">
        <v>585</v>
      </c>
      <c r="AI41" s="4727" t="s">
        <v>586</v>
      </c>
      <c r="AJ41" s="4729"/>
      <c r="AK41" s="4773"/>
      <c r="AL41" s="4776"/>
      <c r="AM41" s="4627"/>
      <c r="AN41" s="438"/>
      <c r="AO41" s="427"/>
      <c r="AP41" s="427"/>
      <c r="AQ41" s="427"/>
      <c r="AR41" s="4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253">
        <f ca="1">OFFSET(V42,0,-1)+1</f>
        <v>3</v>
      </c>
      <c r="W42" s="1253"/>
      <c r="X42" s="1259">
        <f ca="1">OFFSET(X42,0,-1)+1</f>
        <v>1</v>
      </c>
      <c r="Y42" s="1259">
        <f ca="1">OFFSET(Y42,0,-1)+1</f>
        <v>2</v>
      </c>
      <c r="Z42" s="1253">
        <f ca="1">OFFSET(Z42,0,-1)+1</f>
        <v>3</v>
      </c>
      <c r="AA42" s="4766">
        <f ca="1">OFFSET(AA42,0,-1)+1</f>
        <v>4</v>
      </c>
      <c r="AB42" s="4766"/>
      <c r="AC42" s="1253">
        <f ca="1">OFFSET(AC42,0,-2)+1</f>
        <v>5</v>
      </c>
      <c r="AD42" s="1253">
        <f ca="1">OFFSET(AD42,0,-1)+1</f>
        <v>6</v>
      </c>
      <c r="AE42" s="1253"/>
      <c r="AF42" s="1259">
        <f ca="1">OFFSET(AF42,0,-1)+1</f>
        <v>1</v>
      </c>
      <c r="AG42" s="1259">
        <f ca="1">OFFSET(AG42,0,-1)+1</f>
        <v>2</v>
      </c>
      <c r="AH42" s="1253">
        <f ca="1">OFFSET(AH42,0,-1)+1</f>
        <v>3</v>
      </c>
      <c r="AI42" s="4766">
        <f ca="1">OFFSET(AI42,0,-1)+1</f>
        <v>4</v>
      </c>
      <c r="AJ42" s="4766"/>
      <c r="AK42" s="1253">
        <f ca="1">OFFSET(AK42,0,-2)+1</f>
        <v>5</v>
      </c>
      <c r="AL42" s="1155">
        <f ca="1">OFFSET(AL42,0,-1)</f>
        <v>5</v>
      </c>
      <c r="AM42" s="1253">
        <f ca="1">OFFSET(AM42,0,-1)+1</f>
        <v>6</v>
      </c>
      <c r="AN42" s="438"/>
      <c r="AO42" s="438"/>
      <c r="AP42" s="438"/>
      <c r="AQ42" s="438"/>
      <c r="AR42" s="438"/>
    </row>
    <row r="43" spans="1:44" ht="21" customHeight="1">
      <c r="A43" s="1280" t="s">
        <v>251</v>
      </c>
      <c r="B43" s="1280"/>
      <c r="C43" s="1280"/>
      <c r="D43" s="1280"/>
      <c r="E43" s="475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251</v>
      </c>
      <c r="B44" s="1280" t="s">
        <v>252</v>
      </c>
      <c r="C44" s="1280"/>
      <c r="D44" s="1280"/>
      <c r="E44" s="4760"/>
      <c r="F44" s="4759">
        <v>1</v>
      </c>
      <c r="G44" s="1280"/>
      <c r="H44" s="1280"/>
      <c r="I44" s="1280"/>
      <c r="J44" s="1280"/>
      <c r="K44" s="1280"/>
      <c r="L44" s="1281"/>
      <c r="M44" s="1282"/>
      <c r="N44" s="1282"/>
      <c r="O44" s="1282"/>
      <c r="P44" s="1250"/>
      <c r="Q44" s="278"/>
      <c r="R44" s="279"/>
      <c r="S44" s="1254"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251</v>
      </c>
      <c r="B45" s="1280" t="s">
        <v>252</v>
      </c>
      <c r="C45" s="1280" t="s">
        <v>253</v>
      </c>
      <c r="D45" s="1280"/>
      <c r="E45" s="4760"/>
      <c r="F45" s="4760"/>
      <c r="G45" s="4759">
        <v>1</v>
      </c>
      <c r="H45" s="1280"/>
      <c r="I45" s="1280"/>
      <c r="J45" s="1280"/>
      <c r="K45" s="1280"/>
      <c r="L45" s="1281"/>
      <c r="M45" s="1282"/>
      <c r="N45" s="1282"/>
      <c r="O45" s="1282"/>
      <c r="P45" s="280"/>
      <c r="Q45" s="278"/>
      <c r="R45" s="279"/>
      <c r="S45" s="1254"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1" customHeight="1">
      <c r="A46" s="1280" t="s">
        <v>251</v>
      </c>
      <c r="B46" s="1280" t="s">
        <v>252</v>
      </c>
      <c r="C46" s="1280" t="s">
        <v>253</v>
      </c>
      <c r="D46" s="1280" t="s">
        <v>254</v>
      </c>
      <c r="E46" s="4760"/>
      <c r="F46" s="4760"/>
      <c r="G46" s="4760"/>
      <c r="H46" s="4759">
        <v>1</v>
      </c>
      <c r="I46" s="1280"/>
      <c r="J46" s="1280"/>
      <c r="K46" s="1280"/>
      <c r="L46" s="1281"/>
      <c r="M46" s="1282"/>
      <c r="N46" s="1282"/>
      <c r="O46" s="1282"/>
      <c r="P46" s="280"/>
      <c r="Q46" s="278"/>
      <c r="R46" s="279"/>
      <c r="S46" s="1254"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ht="47.25" customHeight="1">
      <c r="A47" s="1280" t="s">
        <v>251</v>
      </c>
      <c r="B47" s="1280" t="s">
        <v>252</v>
      </c>
      <c r="C47" s="1280" t="s">
        <v>253</v>
      </c>
      <c r="D47" s="1280" t="s">
        <v>254</v>
      </c>
      <c r="E47" s="4760"/>
      <c r="F47" s="4760"/>
      <c r="G47" s="4760"/>
      <c r="H47" s="4760"/>
      <c r="I47" s="4757" t="str">
        <f>S46&amp;".1"</f>
        <v>....1</v>
      </c>
      <c r="J47" s="1280"/>
      <c r="K47" s="1280"/>
      <c r="L47" s="1281" t="s">
        <v>544</v>
      </c>
      <c r="P47" s="4758">
        <v>1</v>
      </c>
      <c r="Q47" s="1249"/>
      <c r="R47" s="282"/>
      <c r="S47" s="1254" t="str">
        <f>$I47</f>
        <v>....1</v>
      </c>
      <c r="T47" s="204" t="s">
        <v>545</v>
      </c>
      <c r="U47" s="219"/>
      <c r="V47" s="4748"/>
      <c r="W47" s="4749"/>
      <c r="X47" s="4749"/>
      <c r="Y47" s="4749"/>
      <c r="Z47" s="4749"/>
      <c r="AA47" s="4749"/>
      <c r="AB47" s="4749"/>
      <c r="AC47" s="4750"/>
      <c r="AD47" s="4748"/>
      <c r="AE47" s="4749"/>
      <c r="AF47" s="4749"/>
      <c r="AG47" s="4749"/>
      <c r="AH47" s="4749"/>
      <c r="AI47" s="4749"/>
      <c r="AJ47" s="4749"/>
      <c r="AK47" s="4749"/>
      <c r="AL47" s="4750"/>
      <c r="AM47" s="1178" t="s">
        <v>546</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251</v>
      </c>
      <c r="B48" s="1280" t="s">
        <v>252</v>
      </c>
      <c r="C48" s="1280" t="s">
        <v>253</v>
      </c>
      <c r="D48" s="1280" t="s">
        <v>254</v>
      </c>
      <c r="E48" s="4760"/>
      <c r="F48" s="4760"/>
      <c r="G48" s="4760"/>
      <c r="H48" s="4760"/>
      <c r="I48" s="4780"/>
      <c r="J48" s="4757" t="str">
        <f>I47&amp;".1"</f>
        <v>....1.1</v>
      </c>
      <c r="K48" s="1280"/>
      <c r="L48" s="1281" t="s">
        <v>547</v>
      </c>
      <c r="P48" s="4758"/>
      <c r="Q48" s="4758">
        <v>1</v>
      </c>
      <c r="R48" s="283"/>
      <c r="S48" s="1254" t="str">
        <f>$J48</f>
        <v>....1.1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1" customHeight="1">
      <c r="A49" s="1280" t="s">
        <v>251</v>
      </c>
      <c r="B49" s="1280" t="s">
        <v>252</v>
      </c>
      <c r="C49" s="1280" t="s">
        <v>253</v>
      </c>
      <c r="D49" s="1280" t="s">
        <v>254</v>
      </c>
      <c r="E49" s="4760"/>
      <c r="F49" s="4760"/>
      <c r="G49" s="4760"/>
      <c r="H49" s="4760"/>
      <c r="I49" s="4780"/>
      <c r="J49" s="4780"/>
      <c r="K49" s="4757" t="str">
        <f>J48&amp;".1"</f>
        <v>....1.1.1</v>
      </c>
      <c r="L49" s="1281" t="s">
        <v>550</v>
      </c>
      <c r="P49" s="4758"/>
      <c r="Q49" s="4758"/>
      <c r="R49" s="283">
        <v>1</v>
      </c>
      <c r="S49" s="1254" t="str">
        <f>$K49</f>
        <v>....1.1.1</v>
      </c>
      <c r="T49" s="1265"/>
      <c r="U49" s="219"/>
      <c r="V49" s="251"/>
      <c r="W49" s="669"/>
      <c r="X49" s="251"/>
      <c r="Y49" s="319"/>
      <c r="Z49" s="4762"/>
      <c r="AA49" s="4608" t="s">
        <v>65</v>
      </c>
      <c r="AB49" s="4762"/>
      <c r="AC49" s="4608" t="s">
        <v>65</v>
      </c>
      <c r="AD49" s="251"/>
      <c r="AE49" s="669"/>
      <c r="AF49" s="251"/>
      <c r="AG49" s="319"/>
      <c r="AH49" s="4762"/>
      <c r="AI49" s="4608" t="s">
        <v>65</v>
      </c>
      <c r="AJ49" s="4781"/>
      <c r="AK49" s="4608" t="s">
        <v>65</v>
      </c>
      <c r="AL49" s="1266"/>
      <c r="AM49" s="4754" t="s">
        <v>551</v>
      </c>
      <c r="AN49" s="438" t="e">
        <f ca="1">STRCHECKDATE(V50:AL50)</f>
        <v>#NAME?</v>
      </c>
      <c r="AO49" s="427"/>
      <c r="AP49" s="427" t="str">
        <f t="shared" si="1"/>
        <v/>
      </c>
      <c r="AQ49" s="427"/>
      <c r="AR49" s="427"/>
    </row>
    <row r="50" spans="1:44" ht="0.75" customHeight="1">
      <c r="A50" s="1280" t="s">
        <v>251</v>
      </c>
      <c r="B50" s="1280" t="s">
        <v>252</v>
      </c>
      <c r="C50" s="1280" t="s">
        <v>253</v>
      </c>
      <c r="D50" s="1280" t="s">
        <v>254</v>
      </c>
      <c r="E50" s="4760"/>
      <c r="F50" s="4760"/>
      <c r="G50" s="4760"/>
      <c r="H50" s="4760"/>
      <c r="I50" s="4780"/>
      <c r="J50" s="4780"/>
      <c r="K50" s="4757"/>
      <c r="L50" s="1281"/>
      <c r="P50" s="4758"/>
      <c r="Q50" s="4758"/>
      <c r="R50" s="283"/>
      <c r="S50" s="1260"/>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251</v>
      </c>
      <c r="B51" s="1280" t="s">
        <v>252</v>
      </c>
      <c r="C51" s="1280" t="s">
        <v>253</v>
      </c>
      <c r="D51" s="1280" t="s">
        <v>254</v>
      </c>
      <c r="E51" s="4760"/>
      <c r="F51" s="4760"/>
      <c r="G51" s="4760"/>
      <c r="H51" s="4760"/>
      <c r="I51" s="4780"/>
      <c r="J51" s="4757"/>
      <c r="K51" s="1280"/>
      <c r="L51" s="1281"/>
      <c r="P51" s="4758"/>
      <c r="Q51" s="4758"/>
      <c r="R51" s="282"/>
      <c r="S51" s="1199"/>
      <c r="T51" s="207"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251</v>
      </c>
      <c r="B52" s="1280" t="s">
        <v>252</v>
      </c>
      <c r="C52" s="1280" t="s">
        <v>253</v>
      </c>
      <c r="D52" s="1280" t="s">
        <v>254</v>
      </c>
      <c r="E52" s="4760"/>
      <c r="F52" s="4760"/>
      <c r="G52" s="4760"/>
      <c r="H52" s="4760"/>
      <c r="I52" s="4757"/>
      <c r="J52" s="1280"/>
      <c r="K52" s="1280"/>
      <c r="L52" s="1281"/>
      <c r="P52" s="4758"/>
      <c r="Q52" s="1249"/>
      <c r="R52" s="282"/>
      <c r="S52" s="1199"/>
      <c r="T52" s="206"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251</v>
      </c>
      <c r="B53" s="1280" t="s">
        <v>252</v>
      </c>
      <c r="C53" s="1280" t="s">
        <v>253</v>
      </c>
      <c r="D53" s="1280" t="s">
        <v>254</v>
      </c>
      <c r="E53" s="4760"/>
      <c r="F53" s="4760"/>
      <c r="G53" s="4760"/>
      <c r="H53" s="4759"/>
      <c r="I53" s="1280"/>
      <c r="J53" s="1280"/>
      <c r="K53" s="1280"/>
      <c r="L53" s="1281"/>
      <c r="M53" s="1282"/>
      <c r="N53" s="1282"/>
      <c r="O53" s="463"/>
      <c r="P53" s="286"/>
      <c r="Q53" s="305"/>
      <c r="R53" s="281"/>
      <c r="S53" s="1199"/>
      <c r="T53" s="293" t="s">
        <v>554</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46" customFormat="1" ht="0.75" customHeight="1">
      <c r="A54" s="1261" t="s">
        <v>251</v>
      </c>
      <c r="B54" s="1261" t="s">
        <v>252</v>
      </c>
      <c r="C54" s="1261" t="s">
        <v>253</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75" customHeight="1">
      <c r="A55" s="1261" t="s">
        <v>251</v>
      </c>
      <c r="B55" s="1261" t="s">
        <v>252</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75" customHeight="1">
      <c r="A56" s="1261" t="s">
        <v>251</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75" customHeight="1">
      <c r="O60" s="46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14.25" customHeight="1">
      <c r="O61" s="463"/>
    </row>
    <row r="62" spans="1:44" ht="18" customHeight="1">
      <c r="O62" s="463"/>
      <c r="S62" s="1165"/>
      <c r="T62" s="4779"/>
      <c r="U62" s="4779"/>
      <c r="V62" s="4779"/>
      <c r="W62" s="4779"/>
      <c r="X62" s="4779"/>
      <c r="Y62" s="4779"/>
      <c r="Z62" s="4779"/>
      <c r="AA62" s="4779"/>
      <c r="AB62" s="4779"/>
      <c r="AC62" s="4779"/>
      <c r="AD62" s="4779"/>
      <c r="AE62" s="4779"/>
      <c r="AF62" s="4779"/>
      <c r="AG62" s="4779"/>
      <c r="AH62" s="4779"/>
      <c r="AI62" s="4779"/>
      <c r="AJ62" s="4779"/>
      <c r="AK62" s="4779"/>
      <c r="AL62" s="4779"/>
      <c r="AM62" s="4779"/>
    </row>
    <row r="63" spans="1:44" ht="18" customHeight="1">
      <c r="O63" s="463"/>
      <c r="T63" s="4779"/>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38.25" customHeight="1">
      <c r="O64" s="463"/>
      <c r="S64" s="1165"/>
      <c r="T64" s="4779"/>
      <c r="U64" s="4779"/>
      <c r="V64" s="4779"/>
      <c r="W64" s="4779"/>
      <c r="X64" s="4779"/>
      <c r="Y64" s="4779"/>
      <c r="Z64" s="4779"/>
      <c r="AA64" s="4779"/>
      <c r="AB64" s="4779"/>
      <c r="AC64" s="4779"/>
      <c r="AD64" s="4779"/>
      <c r="AE64" s="4779"/>
      <c r="AF64" s="4779"/>
      <c r="AG64" s="4779"/>
      <c r="AH64" s="4779"/>
      <c r="AI64" s="4779"/>
      <c r="AJ64" s="4779"/>
      <c r="AK64" s="4779"/>
      <c r="AL64" s="4779"/>
      <c r="AM64" s="4779"/>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2" hidden="1" customWidth="1"/>
    <col min="17" max="18" width="3.7109375" style="1954" customWidth="1"/>
    <col min="19" max="19" width="12.7109375" style="1955" customWidth="1"/>
    <col min="20" max="20" width="32" style="1921" customWidth="1"/>
    <col min="21" max="21" width="0.140625" style="1921" customWidth="1"/>
    <col min="22" max="22" width="24.7109375" style="1921" hidden="1" customWidth="1"/>
    <col min="23" max="23" width="0.140625" style="1921" hidden="1" customWidth="1"/>
    <col min="24" max="25" width="24.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24.7109375" style="1921" customWidth="1"/>
    <col min="31" max="31" width="0.140625" style="1921" customWidth="1"/>
    <col min="32" max="33" width="24.710937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54"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50"/>
      <c r="Q3" s="278"/>
      <c r="R3" s="279"/>
      <c r="S3" s="1254"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54"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54"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14.25" hidden="1" customHeight="1">
      <c r="A6" s="1280"/>
      <c r="B6" s="1280"/>
      <c r="C6" s="1280"/>
      <c r="D6" s="1280"/>
      <c r="E6" s="4760"/>
      <c r="F6" s="4760"/>
      <c r="G6" s="4760"/>
      <c r="H6" s="4760"/>
      <c r="I6" s="4757" t="e">
        <f>S5&amp;".1"</f>
        <v>#N/A</v>
      </c>
      <c r="J6" s="1280"/>
      <c r="K6" s="1280"/>
      <c r="L6" s="1281" t="s">
        <v>544</v>
      </c>
      <c r="M6" s="463"/>
      <c r="P6" s="4758">
        <v>1</v>
      </c>
      <c r="Q6" s="1249"/>
      <c r="R6" s="282"/>
      <c r="S6" s="950"/>
      <c r="T6" s="1300"/>
      <c r="U6" s="1301"/>
      <c r="V6" s="4786"/>
      <c r="W6" s="4787"/>
      <c r="X6" s="4787"/>
      <c r="Y6" s="4787"/>
      <c r="Z6" s="4787"/>
      <c r="AA6" s="4787"/>
      <c r="AB6" s="4787"/>
      <c r="AC6" s="4788"/>
      <c r="AD6" s="4786"/>
      <c r="AE6" s="4787"/>
      <c r="AF6" s="4787"/>
      <c r="AG6" s="4787"/>
      <c r="AH6" s="4787"/>
      <c r="AI6" s="4787"/>
      <c r="AJ6" s="4787"/>
      <c r="AK6" s="4787"/>
      <c r="AL6" s="4788"/>
      <c r="AM6" s="1302"/>
      <c r="AO6" s="427"/>
      <c r="AP6" s="427" t="str">
        <f t="shared" si="0"/>
        <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54"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54" t="e">
        <f>$K8</f>
        <v>#N/A</v>
      </c>
      <c r="T8" s="1265"/>
      <c r="U8" s="219"/>
      <c r="V8" s="669"/>
      <c r="W8" s="251"/>
      <c r="X8" s="669"/>
      <c r="Y8" s="1177"/>
      <c r="Z8" s="4762"/>
      <c r="AA8" s="4608" t="s">
        <v>65</v>
      </c>
      <c r="AB8" s="4762"/>
      <c r="AC8" s="4608" t="s">
        <v>65</v>
      </c>
      <c r="AD8" s="669"/>
      <c r="AE8" s="251"/>
      <c r="AF8" s="669"/>
      <c r="AG8" s="1177"/>
      <c r="AH8" s="4762"/>
      <c r="AI8" s="4608" t="s">
        <v>65</v>
      </c>
      <c r="AJ8" s="4762"/>
      <c r="AK8" s="4608" t="s">
        <v>65</v>
      </c>
      <c r="AL8" s="251"/>
      <c r="AM8" s="4754" t="s">
        <v>551</v>
      </c>
      <c r="AN8" s="438" t="e">
        <f ca="1">STRCHECKDATE(V9:AL9)</f>
        <v>#NAME?</v>
      </c>
      <c r="AO8" s="427"/>
      <c r="AP8" s="427" t="str">
        <f t="shared" si="0"/>
        <v/>
      </c>
      <c r="AQ8" s="427"/>
      <c r="AR8" s="427"/>
    </row>
    <row r="9" spans="1:44" ht="0.75" hidden="1" customHeight="1">
      <c r="A9" s="1280"/>
      <c r="B9" s="1280"/>
      <c r="C9" s="1280"/>
      <c r="D9" s="1280"/>
      <c r="E9" s="4760"/>
      <c r="F9" s="4760"/>
      <c r="G9" s="4760"/>
      <c r="H9" s="4760"/>
      <c r="I9" s="4780"/>
      <c r="J9" s="4780"/>
      <c r="K9" s="4757"/>
      <c r="L9" s="1281"/>
      <c r="M9" s="463"/>
      <c r="N9" s="1283"/>
      <c r="O9" s="1283"/>
      <c r="P9" s="4758"/>
      <c r="Q9" s="4758"/>
      <c r="R9" s="283"/>
      <c r="S9" s="1260"/>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6"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4760"/>
      <c r="F11" s="4760"/>
      <c r="G11" s="4760"/>
      <c r="H11" s="4760"/>
      <c r="I11" s="4757"/>
      <c r="J11" s="1280"/>
      <c r="K11" s="1280"/>
      <c r="L11" s="1281"/>
      <c r="M11" s="463"/>
      <c r="P11" s="4758"/>
      <c r="Q11" s="1249"/>
      <c r="R11" s="282"/>
      <c r="S11" s="1199"/>
      <c r="T11" s="293"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46" customFormat="1" ht="0.7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0.7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0.7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4764"/>
      <c r="AI17" s="4765" t="s">
        <v>65</v>
      </c>
      <c r="AJ17" s="4764"/>
      <c r="AK17" s="4765" t="s">
        <v>65</v>
      </c>
    </row>
    <row r="18" spans="1:44" ht="14.25" hidden="1" customHeight="1">
      <c r="AD18" s="1277"/>
      <c r="AE18" s="1277"/>
      <c r="AF18" s="1277"/>
      <c r="AG18" s="255" t="str">
        <f>AH17&amp;"-"&amp;AJ17</f>
        <v>-</v>
      </c>
      <c r="AH18" s="4765"/>
      <c r="AI18" s="4765"/>
      <c r="AJ18" s="4765"/>
      <c r="AK18" s="4765"/>
    </row>
    <row r="19" spans="1:44" ht="14.25" hidden="1" customHeight="1">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14.2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474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743"/>
      <c r="U26" s="4743"/>
      <c r="V26" s="4743"/>
      <c r="W26" s="4743"/>
      <c r="X26" s="4743"/>
      <c r="Y26" s="4743"/>
      <c r="Z26" s="4743"/>
      <c r="AA26" s="4743"/>
      <c r="AB26" s="4743"/>
      <c r="AC26" s="4743"/>
      <c r="AD26" s="4743"/>
      <c r="AE26" s="4743"/>
      <c r="AF26" s="4743"/>
      <c r="AG26" s="4743"/>
      <c r="AH26" s="4743"/>
      <c r="AI26" s="4743"/>
      <c r="AJ26" s="474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18.7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69"/>
      <c r="Y39" s="4769"/>
      <c r="Z39" s="4769"/>
      <c r="AA39" s="4769"/>
      <c r="AB39" s="4770"/>
      <c r="AC39" s="4771" t="s">
        <v>569</v>
      </c>
      <c r="AD39" s="4768" t="s">
        <v>568</v>
      </c>
      <c r="AE39" s="4769"/>
      <c r="AF39" s="4769"/>
      <c r="AG39" s="4769"/>
      <c r="AH39" s="4769"/>
      <c r="AI39" s="4769"/>
      <c r="AJ39" s="4770"/>
      <c r="AK39" s="4771" t="s">
        <v>570</v>
      </c>
      <c r="AL39" s="4774" t="s">
        <v>571</v>
      </c>
      <c r="AM39" s="4627"/>
    </row>
    <row r="40" spans="1:44" ht="33.75" customHeight="1">
      <c r="Q40" s="306"/>
      <c r="R40" s="306"/>
      <c r="S40" s="4767"/>
      <c r="T40" s="4719"/>
      <c r="U40" s="939"/>
      <c r="V40" s="4689" t="s">
        <v>572</v>
      </c>
      <c r="W40" s="4777"/>
      <c r="X40" s="4598" t="s">
        <v>574</v>
      </c>
      <c r="Y40" s="4597"/>
      <c r="Z40" s="4598" t="s">
        <v>575</v>
      </c>
      <c r="AA40" s="4604"/>
      <c r="AB40" s="4597"/>
      <c r="AC40" s="4772"/>
      <c r="AD40" s="4689" t="s">
        <v>572</v>
      </c>
      <c r="AE40" s="4777"/>
      <c r="AF40" s="4598" t="s">
        <v>574</v>
      </c>
      <c r="AG40" s="4597"/>
      <c r="AH40" s="4598" t="s">
        <v>575</v>
      </c>
      <c r="AI40" s="4604"/>
      <c r="AJ40" s="4597"/>
      <c r="AK40" s="4772"/>
      <c r="AL40" s="4775"/>
      <c r="AM40" s="4627"/>
    </row>
    <row r="41" spans="1:44" ht="33.7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Q41" s="306"/>
      <c r="R41" s="306"/>
      <c r="S41" s="4767"/>
      <c r="T41" s="4719"/>
      <c r="U41" s="221"/>
      <c r="V41" s="4738"/>
      <c r="W41" s="4778"/>
      <c r="X41" s="1129" t="s">
        <v>583</v>
      </c>
      <c r="Y41" s="1129" t="s">
        <v>584</v>
      </c>
      <c r="Z41" s="1256" t="s">
        <v>585</v>
      </c>
      <c r="AA41" s="4727" t="s">
        <v>586</v>
      </c>
      <c r="AB41" s="4729"/>
      <c r="AC41" s="4773"/>
      <c r="AD41" s="4738"/>
      <c r="AE41" s="4778"/>
      <c r="AF41" s="1129" t="s">
        <v>583</v>
      </c>
      <c r="AG41" s="1129" t="s">
        <v>584</v>
      </c>
      <c r="AH41" s="1256" t="s">
        <v>585</v>
      </c>
      <c r="AI41" s="4727" t="s">
        <v>586</v>
      </c>
      <c r="AJ41" s="4729"/>
      <c r="AK41" s="4773"/>
      <c r="AL41" s="4776"/>
      <c r="AM41" s="46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253">
        <f ca="1">OFFSET(V42,0,-1)+1</f>
        <v>3</v>
      </c>
      <c r="W42" s="1253"/>
      <c r="X42" s="1253">
        <f ca="1">OFFSET(X42,0,-1)+1</f>
        <v>1</v>
      </c>
      <c r="Y42" s="1253">
        <f ca="1">OFFSET(Y42,0,-1)+1</f>
        <v>2</v>
      </c>
      <c r="Z42" s="1253">
        <f ca="1">OFFSET(Z42,0,-1)+1</f>
        <v>3</v>
      </c>
      <c r="AA42" s="4766">
        <f ca="1">OFFSET(AA42,0,-1)+1</f>
        <v>4</v>
      </c>
      <c r="AB42" s="4766"/>
      <c r="AC42" s="1253">
        <f ca="1">OFFSET(AC42,0,-2)+1</f>
        <v>5</v>
      </c>
      <c r="AD42" s="1253">
        <f ca="1">OFFSET(AD42,0,-1)+1</f>
        <v>6</v>
      </c>
      <c r="AE42" s="1253"/>
      <c r="AF42" s="1253">
        <f ca="1">OFFSET(AF42,0,-1)+1</f>
        <v>1</v>
      </c>
      <c r="AG42" s="1253">
        <f ca="1">OFFSET(AG42,0,-1)+1</f>
        <v>2</v>
      </c>
      <c r="AH42" s="1253">
        <f ca="1">OFFSET(AH42,0,-1)+1</f>
        <v>3</v>
      </c>
      <c r="AI42" s="4766">
        <f ca="1">OFFSET(AI42,0,-1)+1</f>
        <v>4</v>
      </c>
      <c r="AJ42" s="4766"/>
      <c r="AK42" s="1253">
        <f ca="1">OFFSET(AK42,0,-2)+1</f>
        <v>5</v>
      </c>
      <c r="AL42" s="1155">
        <f ca="1">OFFSET(AL42,0,-1)</f>
        <v>5</v>
      </c>
      <c r="AM42" s="1253">
        <f ca="1">OFFSET(AM42,0,-1)+1</f>
        <v>6</v>
      </c>
      <c r="AN42" s="438"/>
      <c r="AO42" s="438"/>
      <c r="AP42" s="438"/>
      <c r="AQ42" s="438"/>
      <c r="AR42" s="438"/>
    </row>
    <row r="43" spans="1:44" ht="21" customHeight="1">
      <c r="A43" s="1280" t="s">
        <v>227</v>
      </c>
      <c r="B43" s="1280"/>
      <c r="C43" s="1280"/>
      <c r="D43" s="1280"/>
      <c r="E43" s="475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227</v>
      </c>
      <c r="B44" s="1280" t="s">
        <v>228</v>
      </c>
      <c r="C44" s="1280"/>
      <c r="D44" s="1280"/>
      <c r="E44" s="4760"/>
      <c r="F44" s="4759">
        <v>1</v>
      </c>
      <c r="G44" s="1280"/>
      <c r="H44" s="1280"/>
      <c r="I44" s="1280"/>
      <c r="J44" s="1280"/>
      <c r="K44" s="1280"/>
      <c r="L44" s="1281"/>
      <c r="M44" s="1282"/>
      <c r="N44" s="1282"/>
      <c r="O44" s="1282"/>
      <c r="P44" s="1250"/>
      <c r="Q44" s="278"/>
      <c r="R44" s="279"/>
      <c r="S44" s="1254"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227</v>
      </c>
      <c r="B45" s="1280" t="s">
        <v>228</v>
      </c>
      <c r="C45" s="1280" t="s">
        <v>229</v>
      </c>
      <c r="D45" s="1280"/>
      <c r="E45" s="4760"/>
      <c r="F45" s="4760"/>
      <c r="G45" s="4759">
        <v>1</v>
      </c>
      <c r="H45" s="1280"/>
      <c r="I45" s="1280"/>
      <c r="J45" s="1280"/>
      <c r="K45" s="1280"/>
      <c r="L45" s="1281"/>
      <c r="M45" s="1282"/>
      <c r="N45" s="1282"/>
      <c r="O45" s="1282"/>
      <c r="P45" s="280"/>
      <c r="Q45" s="278"/>
      <c r="R45" s="279"/>
      <c r="S45" s="1254"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1" customHeight="1">
      <c r="A46" s="1280" t="s">
        <v>227</v>
      </c>
      <c r="B46" s="1280" t="s">
        <v>228</v>
      </c>
      <c r="C46" s="1280" t="s">
        <v>229</v>
      </c>
      <c r="D46" s="1280" t="s">
        <v>230</v>
      </c>
      <c r="E46" s="4760"/>
      <c r="F46" s="4760"/>
      <c r="G46" s="4760"/>
      <c r="H46" s="4759">
        <v>1</v>
      </c>
      <c r="I46" s="1280"/>
      <c r="J46" s="1280"/>
      <c r="K46" s="1280"/>
      <c r="L46" s="1281"/>
      <c r="M46" s="1282"/>
      <c r="N46" s="1282"/>
      <c r="O46" s="1282"/>
      <c r="P46" s="280"/>
      <c r="Q46" s="278"/>
      <c r="R46" s="279"/>
      <c r="S46" s="1254"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s="1821" customFormat="1" ht="0" hidden="1" customHeight="1">
      <c r="A47" s="1261" t="s">
        <v>227</v>
      </c>
      <c r="B47" s="1261" t="s">
        <v>228</v>
      </c>
      <c r="C47" s="1261" t="s">
        <v>229</v>
      </c>
      <c r="D47" s="1261" t="s">
        <v>230</v>
      </c>
      <c r="E47" s="4760"/>
      <c r="F47" s="4760"/>
      <c r="G47" s="4760"/>
      <c r="H47" s="4760"/>
      <c r="I47" s="4757" t="str">
        <f>S46&amp;".1"</f>
        <v>....1</v>
      </c>
      <c r="J47" s="1261"/>
      <c r="K47" s="1261"/>
      <c r="L47" s="1264" t="s">
        <v>544</v>
      </c>
      <c r="M47" s="437"/>
      <c r="N47" s="437"/>
      <c r="O47" s="437"/>
      <c r="P47" s="4758">
        <v>1</v>
      </c>
      <c r="Q47" s="1249"/>
      <c r="R47" s="282"/>
      <c r="S47" s="950"/>
      <c r="T47" s="1300"/>
      <c r="U47" s="1301"/>
      <c r="V47" s="4786"/>
      <c r="W47" s="4787"/>
      <c r="X47" s="4787"/>
      <c r="Y47" s="4787"/>
      <c r="Z47" s="4787"/>
      <c r="AA47" s="4787"/>
      <c r="AB47" s="4787"/>
      <c r="AC47" s="4788"/>
      <c r="AD47" s="4786"/>
      <c r="AE47" s="4787"/>
      <c r="AF47" s="4787"/>
      <c r="AG47" s="4787"/>
      <c r="AH47" s="4787"/>
      <c r="AI47" s="4787"/>
      <c r="AJ47" s="4787"/>
      <c r="AK47" s="4787"/>
      <c r="AL47" s="4788"/>
      <c r="AM47" s="1302"/>
      <c r="AO47" s="427"/>
      <c r="AP47" s="427" t="str">
        <f t="shared" si="1"/>
        <v/>
      </c>
      <c r="AQ47" s="427"/>
      <c r="AR47" s="427"/>
    </row>
    <row r="48" spans="1:44" ht="21" customHeight="1">
      <c r="A48" s="1280" t="s">
        <v>227</v>
      </c>
      <c r="B48" s="1280" t="s">
        <v>228</v>
      </c>
      <c r="C48" s="1280" t="s">
        <v>229</v>
      </c>
      <c r="D48" s="1280" t="s">
        <v>230</v>
      </c>
      <c r="E48" s="4760"/>
      <c r="F48" s="4760"/>
      <c r="G48" s="4760"/>
      <c r="H48" s="4760"/>
      <c r="I48" s="4780"/>
      <c r="J48" s="4757" t="str">
        <f>S46&amp;".1"</f>
        <v>....1</v>
      </c>
      <c r="K48" s="1280"/>
      <c r="L48" s="1281" t="s">
        <v>547</v>
      </c>
      <c r="P48" s="4758"/>
      <c r="Q48" s="4758">
        <v>1</v>
      </c>
      <c r="R48" s="283"/>
      <c r="S48" s="1254" t="str">
        <f>$J48</f>
        <v>....1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1" customHeight="1">
      <c r="A49" s="1280" t="s">
        <v>227</v>
      </c>
      <c r="B49" s="1280" t="s">
        <v>228</v>
      </c>
      <c r="C49" s="1280" t="s">
        <v>229</v>
      </c>
      <c r="D49" s="1280" t="s">
        <v>230</v>
      </c>
      <c r="E49" s="4760"/>
      <c r="F49" s="4760"/>
      <c r="G49" s="4760"/>
      <c r="H49" s="4760"/>
      <c r="I49" s="4780"/>
      <c r="J49" s="4780"/>
      <c r="K49" s="4757" t="str">
        <f>J48&amp;".1"</f>
        <v>....1.1</v>
      </c>
      <c r="L49" s="1281" t="s">
        <v>550</v>
      </c>
      <c r="P49" s="4758"/>
      <c r="Q49" s="4758"/>
      <c r="R49" s="283">
        <v>1</v>
      </c>
      <c r="S49" s="1254" t="str">
        <f>$K49</f>
        <v>....1.1</v>
      </c>
      <c r="T49" s="1265"/>
      <c r="U49" s="219"/>
      <c r="V49" s="669"/>
      <c r="W49" s="251"/>
      <c r="X49" s="669"/>
      <c r="Y49" s="1177"/>
      <c r="Z49" s="4762"/>
      <c r="AA49" s="4608" t="s">
        <v>65</v>
      </c>
      <c r="AB49" s="4762"/>
      <c r="AC49" s="4608" t="s">
        <v>65</v>
      </c>
      <c r="AD49" s="669"/>
      <c r="AE49" s="251"/>
      <c r="AF49" s="669"/>
      <c r="AG49" s="1177"/>
      <c r="AH49" s="4762"/>
      <c r="AI49" s="4608" t="s">
        <v>65</v>
      </c>
      <c r="AJ49" s="4781"/>
      <c r="AK49" s="4608" t="s">
        <v>65</v>
      </c>
      <c r="AL49" s="1266"/>
      <c r="AM49" s="4754" t="s">
        <v>588</v>
      </c>
      <c r="AN49" s="438" t="e">
        <f ca="1">STRCHECKDATE(V50:AL50)</f>
        <v>#NAME?</v>
      </c>
      <c r="AO49" s="427"/>
      <c r="AP49" s="427" t="str">
        <f t="shared" si="1"/>
        <v/>
      </c>
      <c r="AQ49" s="427"/>
      <c r="AR49" s="427"/>
    </row>
    <row r="50" spans="1:44" ht="0.75" customHeight="1">
      <c r="A50" s="1280" t="s">
        <v>227</v>
      </c>
      <c r="B50" s="1280" t="s">
        <v>228</v>
      </c>
      <c r="C50" s="1280" t="s">
        <v>229</v>
      </c>
      <c r="D50" s="1280" t="s">
        <v>230</v>
      </c>
      <c r="E50" s="4760"/>
      <c r="F50" s="4760"/>
      <c r="G50" s="4760"/>
      <c r="H50" s="4760"/>
      <c r="I50" s="4780"/>
      <c r="J50" s="4780"/>
      <c r="K50" s="4757"/>
      <c r="L50" s="1281"/>
      <c r="P50" s="4758"/>
      <c r="Q50" s="4758"/>
      <c r="R50" s="283"/>
      <c r="S50" s="1260"/>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227</v>
      </c>
      <c r="B51" s="1280" t="s">
        <v>228</v>
      </c>
      <c r="C51" s="1280" t="s">
        <v>229</v>
      </c>
      <c r="D51" s="1280" t="s">
        <v>230</v>
      </c>
      <c r="E51" s="4760"/>
      <c r="F51" s="4760"/>
      <c r="G51" s="4760"/>
      <c r="H51" s="4760"/>
      <c r="I51" s="4780"/>
      <c r="J51" s="4757"/>
      <c r="K51" s="1280"/>
      <c r="L51" s="1281"/>
      <c r="P51" s="4758"/>
      <c r="Q51" s="4758"/>
      <c r="R51" s="282"/>
      <c r="S51" s="1199"/>
      <c r="T51" s="206"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227</v>
      </c>
      <c r="B52" s="1280" t="s">
        <v>228</v>
      </c>
      <c r="C52" s="1280" t="s">
        <v>229</v>
      </c>
      <c r="D52" s="1280" t="s">
        <v>230</v>
      </c>
      <c r="E52" s="4760"/>
      <c r="F52" s="4760"/>
      <c r="G52" s="4760"/>
      <c r="H52" s="4760"/>
      <c r="I52" s="4757"/>
      <c r="J52" s="1280"/>
      <c r="K52" s="1280"/>
      <c r="L52" s="1281"/>
      <c r="P52" s="4758"/>
      <c r="Q52" s="1249"/>
      <c r="R52" s="282"/>
      <c r="S52" s="1199"/>
      <c r="T52" s="293"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227</v>
      </c>
      <c r="B53" s="1280" t="s">
        <v>228</v>
      </c>
      <c r="C53" s="1280" t="s">
        <v>229</v>
      </c>
      <c r="D53" s="1280" t="s">
        <v>230</v>
      </c>
      <c r="E53" s="4760"/>
      <c r="F53" s="4760"/>
      <c r="G53" s="4760"/>
      <c r="H53" s="475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46" customFormat="1" ht="0.75" customHeight="1">
      <c r="A54" s="1261" t="s">
        <v>227</v>
      </c>
      <c r="B54" s="1261" t="s">
        <v>228</v>
      </c>
      <c r="C54" s="1261" t="s">
        <v>229</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75" customHeight="1">
      <c r="A55" s="1261" t="s">
        <v>227</v>
      </c>
      <c r="B55" s="1261" t="s">
        <v>228</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75" customHeight="1">
      <c r="A56" s="1261" t="s">
        <v>227</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8.75"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27.75" customHeight="1">
      <c r="O60" s="46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39.75" customHeight="1">
      <c r="O61" s="463"/>
      <c r="T61" s="4779"/>
      <c r="U61" s="4779"/>
      <c r="V61" s="4779"/>
      <c r="W61" s="4779"/>
      <c r="X61" s="4779"/>
      <c r="Y61" s="4779"/>
      <c r="Z61" s="4779"/>
      <c r="AA61" s="4779"/>
      <c r="AB61" s="4779"/>
      <c r="AC61" s="4779"/>
      <c r="AD61" s="4779"/>
      <c r="AE61" s="4779"/>
      <c r="AF61" s="4779"/>
      <c r="AG61" s="4779"/>
      <c r="AH61" s="4779"/>
      <c r="AI61" s="4779"/>
      <c r="AJ61" s="4779"/>
      <c r="AK61" s="4779"/>
      <c r="AL61" s="4779"/>
      <c r="AM61" s="4779"/>
    </row>
    <row r="62" spans="1:44" ht="14.25" customHeight="1">
      <c r="O62" s="463"/>
    </row>
    <row r="63" spans="1:44" ht="19.5" customHeight="1">
      <c r="O63" s="463"/>
      <c r="S63" s="1165"/>
      <c r="T63" s="4672"/>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27.75" customHeight="1">
      <c r="O64" s="463"/>
      <c r="T64" s="4779"/>
      <c r="U64" s="4779"/>
      <c r="V64" s="4779"/>
      <c r="W64" s="4779"/>
      <c r="X64" s="4779"/>
      <c r="Y64" s="4779"/>
      <c r="Z64" s="4779"/>
      <c r="AA64" s="4779"/>
      <c r="AB64" s="4779"/>
      <c r="AC64" s="4779"/>
      <c r="AD64" s="4779"/>
      <c r="AE64" s="4779"/>
      <c r="AF64" s="4779"/>
      <c r="AG64" s="4779"/>
      <c r="AH64" s="4779"/>
      <c r="AI64" s="4779"/>
      <c r="AJ64" s="4779"/>
      <c r="AK64" s="4779"/>
      <c r="AL64" s="4779"/>
      <c r="AM64" s="4779"/>
    </row>
    <row r="65" spans="20:39" ht="33.75" customHeight="1">
      <c r="T65" s="4779"/>
      <c r="U65" s="4779"/>
      <c r="V65" s="4779"/>
      <c r="W65" s="4779"/>
      <c r="X65" s="4779"/>
      <c r="Y65" s="4779"/>
      <c r="Z65" s="4779"/>
      <c r="AA65" s="4779"/>
      <c r="AB65" s="4779"/>
      <c r="AC65" s="4779"/>
      <c r="AD65" s="4779"/>
      <c r="AE65" s="4779"/>
      <c r="AF65" s="4779"/>
      <c r="AG65" s="4779"/>
      <c r="AH65" s="4779"/>
      <c r="AI65" s="4779"/>
      <c r="AJ65" s="4779"/>
      <c r="AK65" s="4779"/>
      <c r="AL65" s="4779"/>
      <c r="AM65" s="4779"/>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2" hidden="1" customWidth="1"/>
    <col min="17" max="18" width="3.7109375" style="1954" customWidth="1"/>
    <col min="19" max="19" width="12.7109375" style="1955" customWidth="1"/>
    <col min="20" max="20" width="32" style="1921" customWidth="1"/>
    <col min="21" max="21" width="0.140625" style="1921" customWidth="1"/>
    <col min="22" max="22" width="24.7109375" style="1921" hidden="1" customWidth="1"/>
    <col min="23" max="23" width="0.140625" style="1921" hidden="1" customWidth="1"/>
    <col min="24" max="25" width="24.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24.7109375" style="1921" customWidth="1"/>
    <col min="31" max="31" width="0.140625" style="1921" customWidth="1"/>
    <col min="32" max="33" width="24.710937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A1" s="1783"/>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54"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50"/>
      <c r="Q3" s="278"/>
      <c r="R3" s="279"/>
      <c r="S3" s="1254"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54"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54"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14.25" hidden="1" customHeight="1">
      <c r="A6" s="1280"/>
      <c r="B6" s="1280"/>
      <c r="C6" s="1280"/>
      <c r="D6" s="1280"/>
      <c r="E6" s="4760"/>
      <c r="F6" s="4760"/>
      <c r="G6" s="4760"/>
      <c r="H6" s="4760"/>
      <c r="I6" s="4757" t="e">
        <f>S5&amp;".1"</f>
        <v>#N/A</v>
      </c>
      <c r="J6" s="1280"/>
      <c r="K6" s="1280"/>
      <c r="L6" s="1281" t="s">
        <v>544</v>
      </c>
      <c r="M6" s="463"/>
      <c r="P6" s="4758">
        <v>1</v>
      </c>
      <c r="Q6" s="1249"/>
      <c r="R6" s="282"/>
      <c r="S6" s="950"/>
      <c r="T6" s="1300"/>
      <c r="U6" s="1301"/>
      <c r="V6" s="4786"/>
      <c r="W6" s="4787"/>
      <c r="X6" s="4787"/>
      <c r="Y6" s="4787"/>
      <c r="Z6" s="4787"/>
      <c r="AA6" s="4787"/>
      <c r="AB6" s="4787"/>
      <c r="AC6" s="4788"/>
      <c r="AD6" s="4786"/>
      <c r="AE6" s="4787"/>
      <c r="AF6" s="4787"/>
      <c r="AG6" s="4787"/>
      <c r="AH6" s="4787"/>
      <c r="AI6" s="4787"/>
      <c r="AJ6" s="4787"/>
      <c r="AK6" s="4787"/>
      <c r="AL6" s="4788"/>
      <c r="AM6" s="1302"/>
      <c r="AO6" s="427"/>
      <c r="AP6" s="427" t="str">
        <f t="shared" si="0"/>
        <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54"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54" t="e">
        <f>$K8</f>
        <v>#N/A</v>
      </c>
      <c r="T8" s="1265"/>
      <c r="U8" s="219"/>
      <c r="V8" s="669"/>
      <c r="W8" s="251"/>
      <c r="X8" s="669"/>
      <c r="Y8" s="1177"/>
      <c r="Z8" s="4762"/>
      <c r="AA8" s="4608" t="s">
        <v>65</v>
      </c>
      <c r="AB8" s="4762"/>
      <c r="AC8" s="4608" t="s">
        <v>65</v>
      </c>
      <c r="AD8" s="669"/>
      <c r="AE8" s="251"/>
      <c r="AF8" s="669"/>
      <c r="AG8" s="1177"/>
      <c r="AH8" s="4762"/>
      <c r="AI8" s="4608" t="s">
        <v>65</v>
      </c>
      <c r="AJ8" s="4762"/>
      <c r="AK8" s="4608" t="s">
        <v>65</v>
      </c>
      <c r="AL8" s="251"/>
      <c r="AM8" s="4754" t="s">
        <v>551</v>
      </c>
      <c r="AN8" s="438" t="e">
        <f ca="1">STRCHECKDATE(V9:AL9)</f>
        <v>#NAME?</v>
      </c>
      <c r="AO8" s="427"/>
      <c r="AP8" s="427" t="str">
        <f t="shared" si="0"/>
        <v/>
      </c>
      <c r="AQ8" s="427"/>
      <c r="AR8" s="427"/>
    </row>
    <row r="9" spans="1:44" ht="14.25" hidden="1" customHeight="1">
      <c r="A9" s="1280"/>
      <c r="B9" s="1280"/>
      <c r="C9" s="1280"/>
      <c r="D9" s="1280"/>
      <c r="E9" s="4760"/>
      <c r="F9" s="4760"/>
      <c r="G9" s="4760"/>
      <c r="H9" s="4760"/>
      <c r="I9" s="4780"/>
      <c r="J9" s="4780"/>
      <c r="K9" s="4757"/>
      <c r="L9" s="1281"/>
      <c r="M9" s="463"/>
      <c r="N9" s="1283"/>
      <c r="O9" s="1283"/>
      <c r="P9" s="4758"/>
      <c r="Q9" s="4758"/>
      <c r="R9" s="283"/>
      <c r="S9" s="1260"/>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6"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4760"/>
      <c r="F11" s="4760"/>
      <c r="G11" s="4760"/>
      <c r="H11" s="4760"/>
      <c r="I11" s="4757"/>
      <c r="J11" s="1280"/>
      <c r="K11" s="1280"/>
      <c r="L11" s="1281"/>
      <c r="M11" s="463"/>
      <c r="P11" s="4758"/>
      <c r="Q11" s="1249"/>
      <c r="R11" s="282"/>
      <c r="S11" s="1199"/>
      <c r="T11" s="293"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46" customFormat="1" ht="14.2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14.2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14.2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4764"/>
      <c r="AI17" s="4765" t="s">
        <v>65</v>
      </c>
      <c r="AJ17" s="4764"/>
      <c r="AK17" s="4765" t="s">
        <v>65</v>
      </c>
    </row>
    <row r="18" spans="1:44" ht="14.25" hidden="1" customHeight="1">
      <c r="AD18" s="1277"/>
      <c r="AE18" s="1277"/>
      <c r="AF18" s="1277"/>
      <c r="AG18" s="255" t="str">
        <f>AH17&amp;"-"&amp;AJ17</f>
        <v>-</v>
      </c>
      <c r="AH18" s="4765"/>
      <c r="AI18" s="4765"/>
      <c r="AJ18" s="4765"/>
      <c r="AK18" s="4765"/>
    </row>
    <row r="19" spans="1:44" ht="14.25" hidden="1" customHeight="1">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14.2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470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703"/>
      <c r="U26" s="4703"/>
      <c r="V26" s="4703"/>
      <c r="W26" s="4703"/>
      <c r="X26" s="4703"/>
      <c r="Y26" s="4703"/>
      <c r="Z26" s="4703"/>
      <c r="AA26" s="4703"/>
      <c r="AB26" s="4703"/>
      <c r="AC26" s="4703"/>
      <c r="AD26" s="4703"/>
      <c r="AE26" s="4703"/>
      <c r="AF26" s="4703"/>
      <c r="AG26" s="4703"/>
      <c r="AH26" s="4703"/>
      <c r="AI26" s="4703"/>
      <c r="AJ26" s="470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18.7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69"/>
      <c r="Y39" s="4769"/>
      <c r="Z39" s="4769"/>
      <c r="AA39" s="4769"/>
      <c r="AB39" s="4770"/>
      <c r="AC39" s="4771" t="s">
        <v>569</v>
      </c>
      <c r="AD39" s="4768" t="s">
        <v>568</v>
      </c>
      <c r="AE39" s="4769"/>
      <c r="AF39" s="4769"/>
      <c r="AG39" s="4769"/>
      <c r="AH39" s="4769"/>
      <c r="AI39" s="4769"/>
      <c r="AJ39" s="4770"/>
      <c r="AK39" s="4771" t="s">
        <v>570</v>
      </c>
      <c r="AL39" s="4774" t="s">
        <v>571</v>
      </c>
      <c r="AM39" s="4627"/>
    </row>
    <row r="40" spans="1:44" ht="33.75" customHeight="1">
      <c r="Q40" s="306"/>
      <c r="R40" s="306"/>
      <c r="S40" s="4767"/>
      <c r="T40" s="4719"/>
      <c r="U40" s="939"/>
      <c r="V40" s="4689" t="s">
        <v>572</v>
      </c>
      <c r="W40" s="4777"/>
      <c r="X40" s="4598" t="s">
        <v>574</v>
      </c>
      <c r="Y40" s="4597"/>
      <c r="Z40" s="4598" t="s">
        <v>575</v>
      </c>
      <c r="AA40" s="4604"/>
      <c r="AB40" s="4597"/>
      <c r="AC40" s="4772"/>
      <c r="AD40" s="4689" t="s">
        <v>572</v>
      </c>
      <c r="AE40" s="4777"/>
      <c r="AF40" s="4598" t="s">
        <v>574</v>
      </c>
      <c r="AG40" s="4597"/>
      <c r="AH40" s="4598" t="s">
        <v>575</v>
      </c>
      <c r="AI40" s="4604"/>
      <c r="AJ40" s="4597"/>
      <c r="AK40" s="4772"/>
      <c r="AL40" s="4775"/>
      <c r="AM40" s="4627"/>
    </row>
    <row r="41" spans="1:44" ht="33.7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Q41" s="306"/>
      <c r="R41" s="306"/>
      <c r="S41" s="4767"/>
      <c r="T41" s="4719"/>
      <c r="U41" s="221"/>
      <c r="V41" s="4738"/>
      <c r="W41" s="4778"/>
      <c r="X41" s="1129" t="s">
        <v>583</v>
      </c>
      <c r="Y41" s="1129" t="s">
        <v>584</v>
      </c>
      <c r="Z41" s="1256" t="s">
        <v>585</v>
      </c>
      <c r="AA41" s="4727" t="s">
        <v>586</v>
      </c>
      <c r="AB41" s="4729"/>
      <c r="AC41" s="4773"/>
      <c r="AD41" s="4738"/>
      <c r="AE41" s="4778"/>
      <c r="AF41" s="1129" t="s">
        <v>583</v>
      </c>
      <c r="AG41" s="1129" t="s">
        <v>584</v>
      </c>
      <c r="AH41" s="1256" t="s">
        <v>585</v>
      </c>
      <c r="AI41" s="4727" t="s">
        <v>586</v>
      </c>
      <c r="AJ41" s="4729"/>
      <c r="AK41" s="4773"/>
      <c r="AL41" s="4776"/>
      <c r="AM41" s="46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253">
        <f ca="1">OFFSET(V42,0,-1)+1</f>
        <v>3</v>
      </c>
      <c r="W42" s="1253"/>
      <c r="X42" s="1253">
        <f ca="1">OFFSET(X42,0,-1)+1</f>
        <v>1</v>
      </c>
      <c r="Y42" s="1253">
        <f ca="1">OFFSET(Y42,0,-1)+1</f>
        <v>2</v>
      </c>
      <c r="Z42" s="1253">
        <f ca="1">OFFSET(Z42,0,-1)+1</f>
        <v>3</v>
      </c>
      <c r="AA42" s="4766">
        <f ca="1">OFFSET(AA42,0,-1)+1</f>
        <v>4</v>
      </c>
      <c r="AB42" s="4766"/>
      <c r="AC42" s="1253">
        <f ca="1">OFFSET(AC42,0,-2)+1</f>
        <v>5</v>
      </c>
      <c r="AD42" s="1253">
        <f ca="1">OFFSET(AD42,0,-1)+1</f>
        <v>6</v>
      </c>
      <c r="AE42" s="1253"/>
      <c r="AF42" s="1253">
        <f ca="1">OFFSET(AF42,0,-1)+1</f>
        <v>1</v>
      </c>
      <c r="AG42" s="1253">
        <f ca="1">OFFSET(AG42,0,-1)+1</f>
        <v>2</v>
      </c>
      <c r="AH42" s="1253">
        <f ca="1">OFFSET(AH42,0,-1)+1</f>
        <v>3</v>
      </c>
      <c r="AI42" s="4766">
        <f ca="1">OFFSET(AI42,0,-1)+1</f>
        <v>4</v>
      </c>
      <c r="AJ42" s="4766"/>
      <c r="AK42" s="1253">
        <f ca="1">OFFSET(AK42,0,-2)+1</f>
        <v>5</v>
      </c>
      <c r="AL42" s="1155">
        <f ca="1">OFFSET(AL42,0,-1)</f>
        <v>5</v>
      </c>
      <c r="AM42" s="1253">
        <f ca="1">OFFSET(AM42,0,-1)+1</f>
        <v>6</v>
      </c>
      <c r="AN42" s="438"/>
      <c r="AO42" s="438"/>
      <c r="AP42" s="438"/>
      <c r="AQ42" s="438"/>
      <c r="AR42" s="438"/>
    </row>
    <row r="43" spans="1:44" ht="21" customHeight="1">
      <c r="A43" s="1280" t="s">
        <v>239</v>
      </c>
      <c r="B43" s="1280"/>
      <c r="C43" s="1280"/>
      <c r="D43" s="1280"/>
      <c r="E43" s="475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239</v>
      </c>
      <c r="B44" s="1280" t="s">
        <v>240</v>
      </c>
      <c r="C44" s="1280"/>
      <c r="D44" s="1280"/>
      <c r="E44" s="4760"/>
      <c r="F44" s="4759">
        <v>1</v>
      </c>
      <c r="G44" s="1280"/>
      <c r="H44" s="1280"/>
      <c r="I44" s="1280"/>
      <c r="J44" s="1280"/>
      <c r="K44" s="1280"/>
      <c r="L44" s="1281"/>
      <c r="M44" s="1282"/>
      <c r="N44" s="1282"/>
      <c r="O44" s="1282"/>
      <c r="P44" s="1250"/>
      <c r="Q44" s="278"/>
      <c r="R44" s="279"/>
      <c r="S44" s="1254"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239</v>
      </c>
      <c r="B45" s="1280" t="s">
        <v>240</v>
      </c>
      <c r="C45" s="1280" t="s">
        <v>241</v>
      </c>
      <c r="D45" s="1280"/>
      <c r="E45" s="4760"/>
      <c r="F45" s="4760"/>
      <c r="G45" s="4759">
        <v>1</v>
      </c>
      <c r="H45" s="1280"/>
      <c r="I45" s="1280"/>
      <c r="J45" s="1280"/>
      <c r="K45" s="1280"/>
      <c r="L45" s="1281"/>
      <c r="M45" s="1282"/>
      <c r="N45" s="1282"/>
      <c r="O45" s="1282"/>
      <c r="P45" s="280"/>
      <c r="Q45" s="278"/>
      <c r="R45" s="279"/>
      <c r="S45" s="1254"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1" customHeight="1">
      <c r="A46" s="1280" t="s">
        <v>239</v>
      </c>
      <c r="B46" s="1280" t="s">
        <v>240</v>
      </c>
      <c r="C46" s="1280" t="s">
        <v>241</v>
      </c>
      <c r="D46" s="1280" t="s">
        <v>242</v>
      </c>
      <c r="E46" s="4760"/>
      <c r="F46" s="4760"/>
      <c r="G46" s="4760"/>
      <c r="H46" s="4759">
        <v>1</v>
      </c>
      <c r="I46" s="1280"/>
      <c r="J46" s="1280"/>
      <c r="K46" s="1280"/>
      <c r="L46" s="1281"/>
      <c r="M46" s="1282"/>
      <c r="N46" s="1282"/>
      <c r="O46" s="1282"/>
      <c r="P46" s="280"/>
      <c r="Q46" s="278"/>
      <c r="R46" s="279"/>
      <c r="S46" s="1254"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s="1821" customFormat="1" ht="0" hidden="1" customHeight="1">
      <c r="A47" s="1261" t="s">
        <v>239</v>
      </c>
      <c r="B47" s="1261" t="s">
        <v>240</v>
      </c>
      <c r="C47" s="1261" t="s">
        <v>241</v>
      </c>
      <c r="D47" s="1261" t="s">
        <v>242</v>
      </c>
      <c r="E47" s="4760"/>
      <c r="F47" s="4760"/>
      <c r="G47" s="4760"/>
      <c r="H47" s="4760"/>
      <c r="I47" s="4757" t="str">
        <f>S46&amp;".1"</f>
        <v>....1</v>
      </c>
      <c r="J47" s="1261"/>
      <c r="K47" s="1261"/>
      <c r="L47" s="1264" t="s">
        <v>544</v>
      </c>
      <c r="M47" s="437"/>
      <c r="N47" s="437"/>
      <c r="O47" s="437"/>
      <c r="P47" s="4758">
        <v>1</v>
      </c>
      <c r="Q47" s="1249"/>
      <c r="R47" s="282"/>
      <c r="S47" s="950"/>
      <c r="T47" s="1300"/>
      <c r="U47" s="1301"/>
      <c r="V47" s="4786"/>
      <c r="W47" s="4787"/>
      <c r="X47" s="4787"/>
      <c r="Y47" s="4787"/>
      <c r="Z47" s="4787"/>
      <c r="AA47" s="4787"/>
      <c r="AB47" s="4787"/>
      <c r="AC47" s="4788"/>
      <c r="AD47" s="4786"/>
      <c r="AE47" s="4787"/>
      <c r="AF47" s="4787"/>
      <c r="AG47" s="4787"/>
      <c r="AH47" s="4787"/>
      <c r="AI47" s="4787"/>
      <c r="AJ47" s="4787"/>
      <c r="AK47" s="4787"/>
      <c r="AL47" s="4788"/>
      <c r="AM47" s="1302"/>
      <c r="AO47" s="427"/>
      <c r="AP47" s="427" t="str">
        <f t="shared" si="1"/>
        <v/>
      </c>
      <c r="AQ47" s="427"/>
      <c r="AR47" s="427"/>
    </row>
    <row r="48" spans="1:44" ht="21" customHeight="1">
      <c r="A48" s="1280" t="s">
        <v>239</v>
      </c>
      <c r="B48" s="1280" t="s">
        <v>240</v>
      </c>
      <c r="C48" s="1280" t="s">
        <v>241</v>
      </c>
      <c r="D48" s="1280" t="s">
        <v>242</v>
      </c>
      <c r="E48" s="4760"/>
      <c r="F48" s="4760"/>
      <c r="G48" s="4760"/>
      <c r="H48" s="4760"/>
      <c r="I48" s="4780"/>
      <c r="J48" s="4757" t="str">
        <f>S46&amp;".1"</f>
        <v>....1</v>
      </c>
      <c r="K48" s="1280"/>
      <c r="L48" s="1281" t="s">
        <v>547</v>
      </c>
      <c r="P48" s="4758"/>
      <c r="Q48" s="4758">
        <v>1</v>
      </c>
      <c r="R48" s="283"/>
      <c r="S48" s="1254" t="str">
        <f>$J48</f>
        <v>....1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1" customHeight="1">
      <c r="A49" s="1280" t="s">
        <v>239</v>
      </c>
      <c r="B49" s="1280" t="s">
        <v>240</v>
      </c>
      <c r="C49" s="1280" t="s">
        <v>241</v>
      </c>
      <c r="D49" s="1280" t="s">
        <v>242</v>
      </c>
      <c r="E49" s="4760"/>
      <c r="F49" s="4760"/>
      <c r="G49" s="4760"/>
      <c r="H49" s="4760"/>
      <c r="I49" s="4780"/>
      <c r="J49" s="4780"/>
      <c r="K49" s="4757" t="str">
        <f>J48&amp;".1"</f>
        <v>....1.1</v>
      </c>
      <c r="L49" s="1281" t="s">
        <v>550</v>
      </c>
      <c r="P49" s="4758"/>
      <c r="Q49" s="4758"/>
      <c r="R49" s="283">
        <v>1</v>
      </c>
      <c r="S49" s="1254" t="str">
        <f>$K49</f>
        <v>....1.1</v>
      </c>
      <c r="T49" s="1265"/>
      <c r="U49" s="219"/>
      <c r="V49" s="669"/>
      <c r="W49" s="251"/>
      <c r="X49" s="669"/>
      <c r="Y49" s="1177"/>
      <c r="Z49" s="4762"/>
      <c r="AA49" s="4608" t="s">
        <v>65</v>
      </c>
      <c r="AB49" s="4762"/>
      <c r="AC49" s="4608" t="s">
        <v>65</v>
      </c>
      <c r="AD49" s="669"/>
      <c r="AE49" s="251"/>
      <c r="AF49" s="669"/>
      <c r="AG49" s="1177"/>
      <c r="AH49" s="4762"/>
      <c r="AI49" s="4608" t="s">
        <v>65</v>
      </c>
      <c r="AJ49" s="4781"/>
      <c r="AK49" s="4608" t="s">
        <v>65</v>
      </c>
      <c r="AL49" s="1266"/>
      <c r="AM49" s="4754" t="s">
        <v>588</v>
      </c>
      <c r="AN49" s="438" t="e">
        <f ca="1">STRCHECKDATE(V50:AL50)</f>
        <v>#NAME?</v>
      </c>
      <c r="AO49" s="427"/>
      <c r="AP49" s="427" t="str">
        <f t="shared" si="1"/>
        <v/>
      </c>
      <c r="AQ49" s="427"/>
      <c r="AR49" s="427"/>
    </row>
    <row r="50" spans="1:44" ht="0.75" customHeight="1">
      <c r="A50" s="1280" t="s">
        <v>239</v>
      </c>
      <c r="B50" s="1280" t="s">
        <v>240</v>
      </c>
      <c r="C50" s="1280" t="s">
        <v>241</v>
      </c>
      <c r="D50" s="1280" t="s">
        <v>242</v>
      </c>
      <c r="E50" s="4760"/>
      <c r="F50" s="4760"/>
      <c r="G50" s="4760"/>
      <c r="H50" s="4760"/>
      <c r="I50" s="4780"/>
      <c r="J50" s="4780"/>
      <c r="K50" s="4757"/>
      <c r="L50" s="1281"/>
      <c r="P50" s="4758"/>
      <c r="Q50" s="4758"/>
      <c r="R50" s="283"/>
      <c r="S50" s="1260"/>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239</v>
      </c>
      <c r="B51" s="1280" t="s">
        <v>240</v>
      </c>
      <c r="C51" s="1280" t="s">
        <v>241</v>
      </c>
      <c r="D51" s="1280" t="s">
        <v>242</v>
      </c>
      <c r="E51" s="4760"/>
      <c r="F51" s="4760"/>
      <c r="G51" s="4760"/>
      <c r="H51" s="4760"/>
      <c r="I51" s="4780"/>
      <c r="J51" s="4757"/>
      <c r="K51" s="1280"/>
      <c r="L51" s="1281"/>
      <c r="P51" s="4758"/>
      <c r="Q51" s="4758"/>
      <c r="R51" s="282"/>
      <c r="S51" s="1199"/>
      <c r="T51" s="206"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239</v>
      </c>
      <c r="B52" s="1280" t="s">
        <v>240</v>
      </c>
      <c r="C52" s="1280" t="s">
        <v>241</v>
      </c>
      <c r="D52" s="1280" t="s">
        <v>242</v>
      </c>
      <c r="E52" s="4760"/>
      <c r="F52" s="4760"/>
      <c r="G52" s="4760"/>
      <c r="H52" s="4760"/>
      <c r="I52" s="4757"/>
      <c r="J52" s="1280"/>
      <c r="K52" s="1280"/>
      <c r="L52" s="1281"/>
      <c r="P52" s="4758"/>
      <c r="Q52" s="1249"/>
      <c r="R52" s="282"/>
      <c r="S52" s="1199"/>
      <c r="T52" s="293"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239</v>
      </c>
      <c r="B53" s="1280" t="s">
        <v>240</v>
      </c>
      <c r="C53" s="1280" t="s">
        <v>241</v>
      </c>
      <c r="D53" s="1280" t="s">
        <v>242</v>
      </c>
      <c r="E53" s="4760"/>
      <c r="F53" s="4760"/>
      <c r="G53" s="4760"/>
      <c r="H53" s="475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46" customFormat="1" ht="0.75" customHeight="1">
      <c r="A54" s="1261" t="s">
        <v>239</v>
      </c>
      <c r="B54" s="1261" t="s">
        <v>240</v>
      </c>
      <c r="C54" s="1261" t="s">
        <v>241</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75" customHeight="1">
      <c r="A55" s="1261" t="s">
        <v>239</v>
      </c>
      <c r="B55" s="1261" t="s">
        <v>240</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75" customHeight="1">
      <c r="A56" s="1261" t="s">
        <v>239</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1.75"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29.25" customHeight="1">
      <c r="O60" s="46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39.75" customHeight="1">
      <c r="O61" s="463"/>
      <c r="T61" s="4779"/>
      <c r="U61" s="4779"/>
      <c r="V61" s="4779"/>
      <c r="W61" s="4779"/>
      <c r="X61" s="4779"/>
      <c r="Y61" s="4779"/>
      <c r="Z61" s="4779"/>
      <c r="AA61" s="4779"/>
      <c r="AB61" s="4779"/>
      <c r="AC61" s="4779"/>
      <c r="AD61" s="4779"/>
      <c r="AE61" s="4779"/>
      <c r="AF61" s="4779"/>
      <c r="AG61" s="4779"/>
      <c r="AH61" s="4779"/>
      <c r="AI61" s="4779"/>
      <c r="AJ61" s="4779"/>
      <c r="AK61" s="4779"/>
      <c r="AL61" s="4779"/>
      <c r="AM61" s="4779"/>
    </row>
    <row r="62" spans="1:44" ht="14.25" customHeight="1">
      <c r="O62" s="463"/>
    </row>
    <row r="63" spans="1:44" ht="19.5" customHeight="1">
      <c r="O63" s="463"/>
      <c r="S63" s="1165"/>
      <c r="T63" s="4672"/>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27.75" customHeight="1">
      <c r="O64" s="463"/>
      <c r="T64" s="4779"/>
      <c r="U64" s="4779"/>
      <c r="V64" s="4779"/>
      <c r="W64" s="4779"/>
      <c r="X64" s="4779"/>
      <c r="Y64" s="4779"/>
      <c r="Z64" s="4779"/>
      <c r="AA64" s="4779"/>
      <c r="AB64" s="4779"/>
      <c r="AC64" s="4779"/>
      <c r="AD64" s="4779"/>
      <c r="AE64" s="4779"/>
      <c r="AF64" s="4779"/>
      <c r="AG64" s="4779"/>
      <c r="AH64" s="4779"/>
      <c r="AI64" s="4779"/>
      <c r="AJ64" s="4779"/>
      <c r="AK64" s="4779"/>
      <c r="AL64" s="4779"/>
      <c r="AM64" s="4779"/>
    </row>
    <row r="65" spans="20:39" ht="33.75" customHeight="1">
      <c r="T65" s="4779"/>
      <c r="U65" s="4779"/>
      <c r="V65" s="4779"/>
      <c r="W65" s="4779"/>
      <c r="X65" s="4779"/>
      <c r="Y65" s="4779"/>
      <c r="Z65" s="4779"/>
      <c r="AA65" s="4779"/>
      <c r="AB65" s="4779"/>
      <c r="AC65" s="4779"/>
      <c r="AD65" s="4779"/>
      <c r="AE65" s="4779"/>
      <c r="AF65" s="4779"/>
      <c r="AG65" s="4779"/>
      <c r="AH65" s="4779"/>
      <c r="AI65" s="4779"/>
      <c r="AJ65" s="4779"/>
      <c r="AK65" s="4779"/>
      <c r="AL65" s="4779"/>
      <c r="AM65" s="4779"/>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52" hidden="1" customWidth="1"/>
    <col min="17" max="18" width="3.7109375" style="1954" customWidth="1"/>
    <col min="19" max="19" width="12.7109375" style="1955" customWidth="1"/>
    <col min="20" max="20" width="32" style="1921" customWidth="1"/>
    <col min="21" max="21" width="0.140625" style="1921" customWidth="1"/>
    <col min="22" max="22" width="24.7109375" style="1921" hidden="1" customWidth="1"/>
    <col min="23" max="23" width="0.140625" style="1921" hidden="1" customWidth="1"/>
    <col min="24" max="25" width="24.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0" width="24.7109375" style="1921" customWidth="1"/>
    <col min="31" max="31" width="0.140625" style="1921" customWidth="1"/>
    <col min="32" max="33" width="24.7109375" style="1921" customWidth="1"/>
    <col min="34" max="34" width="11.7109375" style="1921" customWidth="1"/>
    <col min="35" max="35" width="3.7109375" style="1921" customWidth="1"/>
    <col min="36" max="36" width="11.7109375" style="1921" customWidth="1"/>
    <col min="37" max="37" width="8.5703125" style="1921" hidden="1" customWidth="1"/>
    <col min="38" max="38" width="4.7109375" style="1921" customWidth="1"/>
    <col min="39" max="39" width="115.7109375" style="1921"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80"/>
      <c r="B2" s="1280"/>
      <c r="C2" s="1280"/>
      <c r="D2" s="1280"/>
      <c r="E2" s="4759">
        <v>1</v>
      </c>
      <c r="F2" s="1280"/>
      <c r="G2" s="1280"/>
      <c r="H2" s="1280"/>
      <c r="I2" s="1280"/>
      <c r="J2" s="1280"/>
      <c r="K2" s="1280"/>
      <c r="L2" s="1281"/>
      <c r="M2" s="1282"/>
      <c r="N2" s="1282"/>
      <c r="O2" s="1282"/>
      <c r="P2" s="287"/>
      <c r="Q2" s="286"/>
      <c r="R2" s="281"/>
      <c r="S2" s="1254" t="e">
        <f>INDEX(PT_DIFFERENTIATION_NUM_NTAR,MATCH(A2,PT_DIFFERENTIATION_NTAR_ID,0))</f>
        <v>#N/A</v>
      </c>
      <c r="T2" s="217" t="s">
        <v>185</v>
      </c>
      <c r="U2" s="219"/>
      <c r="V2" s="4745"/>
      <c r="W2" s="4746"/>
      <c r="X2" s="4746"/>
      <c r="Y2" s="4746"/>
      <c r="Z2" s="4746"/>
      <c r="AA2" s="4746"/>
      <c r="AB2" s="4746"/>
      <c r="AC2" s="4747"/>
      <c r="AD2" s="4745" t="e">
        <f>INDEX(PT_DIFFERENTIATION_NTAR,MATCH(A2,PT_DIFFERENTIATION_NTAR_ID,0))</f>
        <v>#N/A</v>
      </c>
      <c r="AE2" s="4746"/>
      <c r="AF2" s="4746"/>
      <c r="AG2" s="4746"/>
      <c r="AH2" s="4746"/>
      <c r="AI2" s="4746"/>
      <c r="AJ2" s="4746"/>
      <c r="AK2" s="4746"/>
      <c r="AL2" s="4747"/>
      <c r="AM2" s="1178" t="s">
        <v>537</v>
      </c>
      <c r="AO2" s="427"/>
      <c r="AP2" s="427" t="str">
        <f t="shared" ref="AP2:AP15" si="0">IF(T2="","",T2)</f>
        <v>Наименование тарифа</v>
      </c>
      <c r="AQ2" s="427"/>
      <c r="AR2" s="427"/>
    </row>
    <row r="3" spans="1:44" ht="21" hidden="1" customHeight="1">
      <c r="A3" s="1280"/>
      <c r="B3" s="1280"/>
      <c r="C3" s="1280"/>
      <c r="D3" s="1280"/>
      <c r="E3" s="4760"/>
      <c r="F3" s="4759">
        <v>1</v>
      </c>
      <c r="G3" s="1280"/>
      <c r="H3" s="1280"/>
      <c r="I3" s="1280"/>
      <c r="J3" s="1280"/>
      <c r="K3" s="1280"/>
      <c r="L3" s="1281"/>
      <c r="M3" s="1282"/>
      <c r="N3" s="1282"/>
      <c r="O3" s="1282"/>
      <c r="P3" s="1250"/>
      <c r="Q3" s="278"/>
      <c r="R3" s="279"/>
      <c r="S3" s="1254" t="e">
        <f>INDEX(PT_DIFFERENTIATION_NUM_TER,MATCH(B3,PT_DIFFERENTIATION_TER_ID,0))</f>
        <v>#N/A</v>
      </c>
      <c r="T3" s="229" t="s">
        <v>538</v>
      </c>
      <c r="U3" s="219"/>
      <c r="V3" s="4745"/>
      <c r="W3" s="4746"/>
      <c r="X3" s="4746"/>
      <c r="Y3" s="4746"/>
      <c r="Z3" s="4746"/>
      <c r="AA3" s="4746"/>
      <c r="AB3" s="4746"/>
      <c r="AC3" s="4747"/>
      <c r="AD3" s="4745" t="e">
        <f>INDEX(PT_DIFFERENTIATION_TER,MATCH(B3,PT_DIFFERENTIATION_TER_ID,0))</f>
        <v>#N/A</v>
      </c>
      <c r="AE3" s="4746"/>
      <c r="AF3" s="4746"/>
      <c r="AG3" s="4746"/>
      <c r="AH3" s="4746"/>
      <c r="AI3" s="4746"/>
      <c r="AJ3" s="4746"/>
      <c r="AK3" s="4746"/>
      <c r="AL3" s="4747"/>
      <c r="AM3" s="1178" t="s">
        <v>539</v>
      </c>
      <c r="AO3" s="427"/>
      <c r="AP3" s="427" t="str">
        <f t="shared" si="0"/>
        <v>Территория действия тарифа</v>
      </c>
      <c r="AQ3" s="427"/>
      <c r="AR3" s="427"/>
    </row>
    <row r="4" spans="1:44" ht="23.25" hidden="1" customHeight="1">
      <c r="A4" s="1280"/>
      <c r="B4" s="1280"/>
      <c r="C4" s="1280"/>
      <c r="D4" s="1280"/>
      <c r="E4" s="4760"/>
      <c r="F4" s="4760"/>
      <c r="G4" s="4759">
        <v>1</v>
      </c>
      <c r="H4" s="1280"/>
      <c r="I4" s="1280"/>
      <c r="J4" s="1280"/>
      <c r="K4" s="1280"/>
      <c r="L4" s="1281"/>
      <c r="M4" s="1282"/>
      <c r="N4" s="1282"/>
      <c r="O4" s="1282"/>
      <c r="P4" s="280"/>
      <c r="Q4" s="278"/>
      <c r="R4" s="279"/>
      <c r="S4" s="1254" t="e">
        <f>INDEX(PT_DIFFERENTIATION_NUM_CS,MATCH(C4,PT_DIFFERENTIATION_CS_ID,0))</f>
        <v>#N/A</v>
      </c>
      <c r="T4" s="230" t="s">
        <v>540</v>
      </c>
      <c r="U4" s="219"/>
      <c r="V4" s="4745"/>
      <c r="W4" s="4746"/>
      <c r="X4" s="4746"/>
      <c r="Y4" s="4746"/>
      <c r="Z4" s="4746"/>
      <c r="AA4" s="4746"/>
      <c r="AB4" s="4746"/>
      <c r="AC4" s="4747"/>
      <c r="AD4" s="4745" t="e">
        <f>INDEX(PT_DIFFERENTIATION_CS,MATCH(C4,PT_DIFFERENTIATION_CS_ID,0))</f>
        <v>#N/A</v>
      </c>
      <c r="AE4" s="4746"/>
      <c r="AF4" s="4746"/>
      <c r="AG4" s="4746"/>
      <c r="AH4" s="4746"/>
      <c r="AI4" s="4746"/>
      <c r="AJ4" s="4746"/>
      <c r="AK4" s="4746"/>
      <c r="AL4" s="4747"/>
      <c r="AM4" s="1178" t="s">
        <v>541</v>
      </c>
      <c r="AO4" s="427"/>
      <c r="AP4" s="427" t="str">
        <f t="shared" si="0"/>
        <v xml:space="preserve">Наименование системы теплоснабжения </v>
      </c>
      <c r="AQ4" s="427"/>
      <c r="AR4" s="427"/>
    </row>
    <row r="5" spans="1:44" ht="21" hidden="1" customHeight="1">
      <c r="A5" s="1280"/>
      <c r="B5" s="1280"/>
      <c r="C5" s="1280"/>
      <c r="D5" s="1280"/>
      <c r="E5" s="4760"/>
      <c r="F5" s="4760"/>
      <c r="G5" s="4760"/>
      <c r="H5" s="4759">
        <v>1</v>
      </c>
      <c r="I5" s="1280"/>
      <c r="J5" s="1280"/>
      <c r="K5" s="1280"/>
      <c r="L5" s="1281"/>
      <c r="M5" s="1282"/>
      <c r="N5" s="1282"/>
      <c r="O5" s="1282"/>
      <c r="P5" s="280"/>
      <c r="Q5" s="278"/>
      <c r="R5" s="279"/>
      <c r="S5" s="1254" t="e">
        <f>INDEX(PT_DIFFERENTIATION_NUM_IST_TE,MATCH(D5,PT_DIFFERENTIATION_IST_TE_ID,0))</f>
        <v>#N/A</v>
      </c>
      <c r="T5" s="231" t="s">
        <v>542</v>
      </c>
      <c r="U5" s="219"/>
      <c r="V5" s="4745"/>
      <c r="W5" s="4746"/>
      <c r="X5" s="4746"/>
      <c r="Y5" s="4746"/>
      <c r="Z5" s="4746"/>
      <c r="AA5" s="4746"/>
      <c r="AB5" s="4746"/>
      <c r="AC5" s="4747"/>
      <c r="AD5" s="4745" t="e">
        <f>INDEX(PT_DIFFERENTIATION_IST_TE,MATCH(D5,PT_DIFFERENTIATION_IST_TE_ID,0))</f>
        <v>#N/A</v>
      </c>
      <c r="AE5" s="4746"/>
      <c r="AF5" s="4746"/>
      <c r="AG5" s="4746"/>
      <c r="AH5" s="4746"/>
      <c r="AI5" s="4746"/>
      <c r="AJ5" s="4746"/>
      <c r="AK5" s="4746"/>
      <c r="AL5" s="4747"/>
      <c r="AM5" s="1178" t="s">
        <v>543</v>
      </c>
      <c r="AO5" s="427"/>
      <c r="AP5" s="427" t="str">
        <f t="shared" si="0"/>
        <v xml:space="preserve">Источник тепловой энергии  </v>
      </c>
      <c r="AQ5" s="427"/>
      <c r="AR5" s="427"/>
    </row>
    <row r="6" spans="1:44" ht="14.25" hidden="1" customHeight="1">
      <c r="A6" s="1280"/>
      <c r="B6" s="1280"/>
      <c r="C6" s="1280"/>
      <c r="D6" s="1280"/>
      <c r="E6" s="4760"/>
      <c r="F6" s="4760"/>
      <c r="G6" s="4760"/>
      <c r="H6" s="4760"/>
      <c r="I6" s="4757" t="e">
        <f>S5&amp;".1"</f>
        <v>#N/A</v>
      </c>
      <c r="J6" s="1280"/>
      <c r="K6" s="1280"/>
      <c r="L6" s="1281" t="s">
        <v>544</v>
      </c>
      <c r="M6" s="463"/>
      <c r="P6" s="4758">
        <v>1</v>
      </c>
      <c r="Q6" s="1249"/>
      <c r="R6" s="282"/>
      <c r="S6" s="950"/>
      <c r="T6" s="1300"/>
      <c r="U6" s="1301"/>
      <c r="V6" s="4786"/>
      <c r="W6" s="4787"/>
      <c r="X6" s="4787"/>
      <c r="Y6" s="4787"/>
      <c r="Z6" s="4787"/>
      <c r="AA6" s="4787"/>
      <c r="AB6" s="4787"/>
      <c r="AC6" s="4788"/>
      <c r="AD6" s="4786"/>
      <c r="AE6" s="4787"/>
      <c r="AF6" s="4787"/>
      <c r="AG6" s="4787"/>
      <c r="AH6" s="4787"/>
      <c r="AI6" s="4787"/>
      <c r="AJ6" s="4787"/>
      <c r="AK6" s="4787"/>
      <c r="AL6" s="4788"/>
      <c r="AM6" s="1302"/>
      <c r="AO6" s="427"/>
      <c r="AP6" s="427" t="str">
        <f t="shared" si="0"/>
        <v/>
      </c>
      <c r="AQ6" s="427"/>
      <c r="AR6" s="427"/>
    </row>
    <row r="7" spans="1:44" ht="21" hidden="1" customHeight="1">
      <c r="A7" s="1280"/>
      <c r="B7" s="1280"/>
      <c r="C7" s="1280"/>
      <c r="D7" s="1280"/>
      <c r="E7" s="4760"/>
      <c r="F7" s="4760"/>
      <c r="G7" s="4760"/>
      <c r="H7" s="4760"/>
      <c r="I7" s="4780"/>
      <c r="J7" s="4757" t="e">
        <f>I6&amp;".1"</f>
        <v>#N/A</v>
      </c>
      <c r="K7" s="1280"/>
      <c r="L7" s="1281" t="s">
        <v>547</v>
      </c>
      <c r="M7" s="463"/>
      <c r="N7" s="1283"/>
      <c r="P7" s="4758"/>
      <c r="Q7" s="4758">
        <v>1</v>
      </c>
      <c r="R7" s="283"/>
      <c r="S7" s="1254" t="e">
        <f>$J7</f>
        <v>#N/A</v>
      </c>
      <c r="T7" s="205" t="s">
        <v>548</v>
      </c>
      <c r="U7" s="219"/>
      <c r="V7" s="4748"/>
      <c r="W7" s="4749"/>
      <c r="X7" s="4749"/>
      <c r="Y7" s="4749"/>
      <c r="Z7" s="4749"/>
      <c r="AA7" s="4749"/>
      <c r="AB7" s="4749"/>
      <c r="AC7" s="4750"/>
      <c r="AD7" s="4748"/>
      <c r="AE7" s="4749"/>
      <c r="AF7" s="4749"/>
      <c r="AG7" s="4749"/>
      <c r="AH7" s="4749"/>
      <c r="AI7" s="4749"/>
      <c r="AJ7" s="4749"/>
      <c r="AK7" s="4749"/>
      <c r="AL7" s="4750"/>
      <c r="AM7" s="1178" t="s">
        <v>549</v>
      </c>
      <c r="AO7" s="427"/>
      <c r="AP7" s="427" t="str">
        <f t="shared" si="0"/>
        <v>Группа потребителей</v>
      </c>
      <c r="AQ7" s="427"/>
      <c r="AR7" s="427"/>
    </row>
    <row r="8" spans="1:44" ht="21" hidden="1" customHeight="1">
      <c r="A8" s="1280"/>
      <c r="B8" s="1280"/>
      <c r="C8" s="1280"/>
      <c r="D8" s="1280"/>
      <c r="E8" s="4760"/>
      <c r="F8" s="4760"/>
      <c r="G8" s="4760"/>
      <c r="H8" s="4760"/>
      <c r="I8" s="4780"/>
      <c r="J8" s="4780"/>
      <c r="K8" s="4757" t="e">
        <f>J7&amp;".1"</f>
        <v>#N/A</v>
      </c>
      <c r="L8" s="1281" t="s">
        <v>550</v>
      </c>
      <c r="M8" s="463"/>
      <c r="N8" s="1283"/>
      <c r="O8" s="1283"/>
      <c r="P8" s="4758"/>
      <c r="Q8" s="4758"/>
      <c r="R8" s="283">
        <v>1</v>
      </c>
      <c r="S8" s="1254" t="e">
        <f>$K8</f>
        <v>#N/A</v>
      </c>
      <c r="T8" s="1265"/>
      <c r="U8" s="219"/>
      <c r="V8" s="669"/>
      <c r="W8" s="251"/>
      <c r="X8" s="669"/>
      <c r="Y8" s="1177"/>
      <c r="Z8" s="4762"/>
      <c r="AA8" s="4608" t="s">
        <v>65</v>
      </c>
      <c r="AB8" s="4762"/>
      <c r="AC8" s="4608" t="s">
        <v>65</v>
      </c>
      <c r="AD8" s="669"/>
      <c r="AE8" s="251"/>
      <c r="AF8" s="669"/>
      <c r="AG8" s="1177"/>
      <c r="AH8" s="4762"/>
      <c r="AI8" s="4608" t="s">
        <v>65</v>
      </c>
      <c r="AJ8" s="4762"/>
      <c r="AK8" s="4608" t="s">
        <v>65</v>
      </c>
      <c r="AL8" s="251"/>
      <c r="AM8" s="4754" t="s">
        <v>551</v>
      </c>
      <c r="AN8" s="438" t="e">
        <f ca="1">STRCHECKDATE(V9:AL9)</f>
        <v>#NAME?</v>
      </c>
      <c r="AO8" s="427"/>
      <c r="AP8" s="427" t="str">
        <f t="shared" si="0"/>
        <v/>
      </c>
      <c r="AQ8" s="427"/>
      <c r="AR8" s="427"/>
    </row>
    <row r="9" spans="1:44" ht="14.25" hidden="1" customHeight="1">
      <c r="A9" s="1280"/>
      <c r="B9" s="1280"/>
      <c r="C9" s="1280"/>
      <c r="D9" s="1280"/>
      <c r="E9" s="4760"/>
      <c r="F9" s="4760"/>
      <c r="G9" s="4760"/>
      <c r="H9" s="4760"/>
      <c r="I9" s="4780"/>
      <c r="J9" s="4780"/>
      <c r="K9" s="4757"/>
      <c r="L9" s="1281"/>
      <c r="M9" s="463"/>
      <c r="N9" s="1283"/>
      <c r="O9" s="1283"/>
      <c r="P9" s="4758"/>
      <c r="Q9" s="4758"/>
      <c r="R9" s="283"/>
      <c r="S9" s="1260"/>
      <c r="T9" s="219"/>
      <c r="U9" s="219"/>
      <c r="V9" s="251"/>
      <c r="W9" s="251"/>
      <c r="X9" s="251"/>
      <c r="Y9" s="255" t="str">
        <f>Z8&amp;"-"&amp;AB8</f>
        <v>-</v>
      </c>
      <c r="Z9" s="4763"/>
      <c r="AA9" s="4608"/>
      <c r="AB9" s="4763"/>
      <c r="AC9" s="4608"/>
      <c r="AD9" s="251"/>
      <c r="AE9" s="251"/>
      <c r="AF9" s="251"/>
      <c r="AG9" s="255" t="str">
        <f>AH8&amp;"-"&amp;AJ8</f>
        <v>-</v>
      </c>
      <c r="AH9" s="4763"/>
      <c r="AI9" s="4608"/>
      <c r="AJ9" s="4763"/>
      <c r="AK9" s="4608"/>
      <c r="AL9" s="251"/>
      <c r="AM9" s="4755"/>
      <c r="AO9" s="427"/>
      <c r="AP9" s="427" t="str">
        <f t="shared" si="0"/>
        <v/>
      </c>
      <c r="AQ9" s="427"/>
      <c r="AR9" s="427"/>
    </row>
    <row r="10" spans="1:44" ht="15" hidden="1" customHeight="1">
      <c r="A10" s="1280"/>
      <c r="B10" s="1280"/>
      <c r="C10" s="1280"/>
      <c r="D10" s="1280"/>
      <c r="E10" s="4760"/>
      <c r="F10" s="4760"/>
      <c r="G10" s="4760"/>
      <c r="H10" s="4760"/>
      <c r="I10" s="4780"/>
      <c r="J10" s="4757"/>
      <c r="K10" s="1280"/>
      <c r="L10" s="1281"/>
      <c r="M10" s="463"/>
      <c r="N10" s="1283"/>
      <c r="P10" s="4758"/>
      <c r="Q10" s="4758"/>
      <c r="R10" s="282"/>
      <c r="S10" s="1199"/>
      <c r="T10" s="206" t="s">
        <v>552</v>
      </c>
      <c r="U10" s="296"/>
      <c r="V10" s="296"/>
      <c r="W10" s="296"/>
      <c r="X10" s="296"/>
      <c r="Y10" s="296"/>
      <c r="Z10" s="296"/>
      <c r="AA10" s="296"/>
      <c r="AB10" s="296"/>
      <c r="AC10" s="296"/>
      <c r="AD10" s="296"/>
      <c r="AE10" s="296"/>
      <c r="AF10" s="296"/>
      <c r="AG10" s="296"/>
      <c r="AH10" s="296"/>
      <c r="AI10" s="296"/>
      <c r="AJ10" s="296"/>
      <c r="AK10" s="296"/>
      <c r="AL10" s="250"/>
      <c r="AM10" s="4756"/>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4760"/>
      <c r="F11" s="4760"/>
      <c r="G11" s="4760"/>
      <c r="H11" s="4760"/>
      <c r="I11" s="4757"/>
      <c r="J11" s="1280"/>
      <c r="K11" s="1280"/>
      <c r="L11" s="1281"/>
      <c r="M11" s="463"/>
      <c r="P11" s="4758"/>
      <c r="Q11" s="1249"/>
      <c r="R11" s="282"/>
      <c r="S11" s="1199"/>
      <c r="T11" s="293" t="s">
        <v>553</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4760"/>
      <c r="F12" s="4760"/>
      <c r="G12" s="4760"/>
      <c r="H12" s="4759"/>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46" customFormat="1" ht="14.25" hidden="1" customHeight="1">
      <c r="A13" s="1233"/>
      <c r="B13" s="1233"/>
      <c r="C13" s="1233"/>
      <c r="D13" s="1233"/>
      <c r="E13" s="4760"/>
      <c r="F13" s="4760"/>
      <c r="G13" s="4759"/>
      <c r="H13" s="1233"/>
      <c r="I13" s="1233"/>
      <c r="J13" s="1233"/>
      <c r="K13" s="1233"/>
      <c r="L13" s="1257"/>
      <c r="M13" s="1234"/>
      <c r="N13" s="1234"/>
      <c r="P13" s="1235"/>
      <c r="Q13" s="1236"/>
      <c r="R13" s="1235"/>
      <c r="S13" s="1237"/>
      <c r="T13" s="1238" t="s">
        <v>555</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46" customFormat="1" ht="14.25" hidden="1" customHeight="1">
      <c r="A14" s="1233"/>
      <c r="B14" s="1233"/>
      <c r="C14" s="1233"/>
      <c r="D14" s="1233"/>
      <c r="E14" s="4760"/>
      <c r="F14" s="4759"/>
      <c r="G14" s="1233"/>
      <c r="H14" s="1233"/>
      <c r="I14" s="1233"/>
      <c r="J14" s="1233"/>
      <c r="K14" s="1233"/>
      <c r="L14" s="1257"/>
      <c r="M14" s="1240"/>
      <c r="N14" s="1240"/>
      <c r="P14" s="1235"/>
      <c r="Q14" s="1236"/>
      <c r="R14" s="1235"/>
      <c r="S14" s="1241"/>
      <c r="T14" s="1242" t="s">
        <v>316</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46" customFormat="1" ht="14.25" hidden="1" customHeight="1">
      <c r="A15" s="1233"/>
      <c r="B15" s="1233"/>
      <c r="C15" s="1233"/>
      <c r="D15" s="1233"/>
      <c r="E15" s="4759"/>
      <c r="F15" s="1233"/>
      <c r="G15" s="1233"/>
      <c r="H15" s="1233"/>
      <c r="I15" s="1233"/>
      <c r="J15" s="1233"/>
      <c r="K15" s="1233"/>
      <c r="L15" s="1257"/>
      <c r="M15" s="1240"/>
      <c r="N15" s="1240"/>
      <c r="P15" s="1235"/>
      <c r="Q15" s="1236"/>
      <c r="R15" s="1235"/>
      <c r="S15" s="1241"/>
      <c r="T15" s="1244" t="s">
        <v>317</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4764"/>
      <c r="AI17" s="4765" t="s">
        <v>65</v>
      </c>
      <c r="AJ17" s="4764"/>
      <c r="AK17" s="4765" t="s">
        <v>65</v>
      </c>
    </row>
    <row r="18" spans="1:44" ht="14.25" hidden="1" customHeight="1">
      <c r="AD18" s="1277"/>
      <c r="AE18" s="1277"/>
      <c r="AF18" s="1277"/>
      <c r="AG18" s="255" t="str">
        <f>AH17&amp;"-"&amp;AJ17</f>
        <v>-</v>
      </c>
      <c r="AH18" s="4765"/>
      <c r="AI18" s="4765"/>
      <c r="AJ18" s="4765"/>
      <c r="AK18" s="4765"/>
    </row>
    <row r="19" spans="1:44" ht="14.25" hidden="1" customHeight="1">
      <c r="AK19" s="254"/>
    </row>
    <row r="20" spans="1:44" s="1835" customFormat="1" ht="22.5" hidden="1" customHeight="1">
      <c r="L20" s="1247"/>
      <c r="M20" s="1279"/>
      <c r="N20" s="1279"/>
      <c r="O20" s="1284" t="s">
        <v>556</v>
      </c>
      <c r="P20" s="1279"/>
      <c r="Q20" s="1288"/>
      <c r="R20" s="1288"/>
      <c r="S20" s="649"/>
      <c r="Z20" s="1284"/>
      <c r="AB20" s="1284"/>
      <c r="AC20" s="1283"/>
      <c r="AH20" s="1284"/>
      <c r="AJ20" s="1284"/>
      <c r="AK20" s="1283"/>
      <c r="AN20" s="438"/>
      <c r="AO20" s="438"/>
      <c r="AP20" s="438"/>
      <c r="AQ20" s="438"/>
      <c r="AR20" s="438"/>
    </row>
    <row r="21" spans="1:44" s="1835" customFormat="1" ht="14.25" hidden="1" customHeight="1">
      <c r="L21" s="1247"/>
      <c r="M21" s="1279"/>
      <c r="N21" s="1279"/>
      <c r="O21" s="1279"/>
      <c r="P21" s="1279"/>
      <c r="Q21" s="1288"/>
      <c r="R21" s="1288"/>
      <c r="S21" s="649"/>
      <c r="AC21" s="1283"/>
      <c r="AK21" s="1283"/>
      <c r="AN21" s="438"/>
      <c r="AO21" s="438"/>
      <c r="AP21" s="438"/>
      <c r="AQ21" s="438"/>
      <c r="AR21" s="438"/>
    </row>
    <row r="22" spans="1:44" s="1835" customFormat="1" ht="14.25" hidden="1" customHeight="1">
      <c r="L22" s="1247"/>
      <c r="M22" s="1279"/>
      <c r="N22" s="1279"/>
      <c r="O22" s="1281" t="s">
        <v>557</v>
      </c>
      <c r="P22" s="1279"/>
      <c r="Q22" s="1288"/>
      <c r="R22" s="1288"/>
      <c r="S22" s="649"/>
      <c r="T22" s="1061" t="s">
        <v>558</v>
      </c>
      <c r="AA22" s="107" t="s">
        <v>559</v>
      </c>
      <c r="AC22" s="107" t="s">
        <v>560</v>
      </c>
      <c r="AD22" s="1061" t="s">
        <v>558</v>
      </c>
      <c r="AI22" s="107" t="s">
        <v>561</v>
      </c>
      <c r="AK22" s="107" t="s">
        <v>560</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474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743"/>
      <c r="U26" s="4743"/>
      <c r="V26" s="4743"/>
      <c r="W26" s="4743"/>
      <c r="X26" s="4743"/>
      <c r="Y26" s="4743"/>
      <c r="Z26" s="4743"/>
      <c r="AA26" s="4743"/>
      <c r="AB26" s="4743"/>
      <c r="AC26" s="4743"/>
      <c r="AD26" s="4743"/>
      <c r="AE26" s="4743"/>
      <c r="AF26" s="4743"/>
      <c r="AG26" s="4743"/>
      <c r="AH26" s="4743"/>
      <c r="AI26" s="4743"/>
      <c r="AJ26" s="4743"/>
      <c r="AK26" s="1153"/>
    </row>
    <row r="27" spans="1:44" ht="14.25" customHeight="1">
      <c r="Q27" s="306"/>
      <c r="R27" s="306"/>
      <c r="S27" s="4690" t="str">
        <f>IF(org=0,"Не определено",org)</f>
        <v>ОГКП "Ульяновский областной водоканал"</v>
      </c>
      <c r="T27" s="4690"/>
      <c r="U27" s="4690"/>
      <c r="V27" s="4690"/>
      <c r="W27" s="4690"/>
      <c r="X27" s="4690"/>
      <c r="Y27" s="4690"/>
      <c r="Z27" s="4690"/>
      <c r="AA27" s="4690"/>
      <c r="AB27" s="4690"/>
      <c r="AC27" s="4690"/>
      <c r="AD27" s="4690"/>
      <c r="AE27" s="4690"/>
      <c r="AF27" s="4690"/>
      <c r="AG27" s="4690"/>
      <c r="AH27" s="4690"/>
      <c r="AI27" s="4690"/>
      <c r="AJ27" s="4690"/>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51" customFormat="1" ht="25.5" customHeight="1">
      <c r="A29" s="1285"/>
      <c r="B29" s="1285"/>
      <c r="C29" s="1285"/>
      <c r="D29" s="1285"/>
      <c r="E29" s="1285"/>
      <c r="F29" s="1285"/>
      <c r="G29" s="1285"/>
      <c r="H29" s="1285"/>
      <c r="I29" s="1285"/>
      <c r="J29" s="1285"/>
      <c r="K29" s="1285"/>
      <c r="L29" s="1286"/>
      <c r="M29" s="1285"/>
      <c r="N29" s="1285"/>
      <c r="O29" s="1285"/>
      <c r="S29" s="4751" t="s">
        <v>38</v>
      </c>
      <c r="T29" s="4751"/>
      <c r="U29" s="1289"/>
      <c r="V29" s="4752" t="str">
        <f>IF(TITLE_NAME_OR_PR_CHANGE="",IF(TITLE_NAME_OR_PR="","",TITLE_NAME_OR_PR),TITLE_NAME_OR_PR_CHANGE)</f>
        <v>Агентство по регулированию цен и тарифов Ульяновской области</v>
      </c>
      <c r="W29" s="4752"/>
      <c r="X29" s="4752"/>
      <c r="Y29" s="4752"/>
      <c r="Z29" s="4752"/>
      <c r="AA29" s="4752"/>
      <c r="AB29" s="4752"/>
      <c r="AC29" s="253"/>
      <c r="AD29" s="4752" t="str">
        <f>IF(TITLE_NAME_OR_PR_CHANGE="",IF(TITLE_NAME_OR_PR="","",TITLE_NAME_OR_PR),TITLE_NAME_OR_PR_CHANGE)</f>
        <v>Агентство по регулированию цен и тарифов Ульяновской области</v>
      </c>
      <c r="AE29" s="4752"/>
      <c r="AF29" s="4752"/>
      <c r="AG29" s="4752"/>
      <c r="AH29" s="4752"/>
      <c r="AI29" s="4752"/>
      <c r="AJ29" s="4752"/>
      <c r="AK29" s="253"/>
      <c r="AL29" s="253"/>
      <c r="AM29" s="200"/>
      <c r="AN29" s="297"/>
      <c r="AO29" s="297"/>
      <c r="AP29" s="297"/>
      <c r="AQ29" s="297"/>
      <c r="AR29" s="297"/>
    </row>
    <row r="30" spans="1:44" s="1951" customFormat="1" ht="18.75" customHeight="1">
      <c r="A30" s="1285"/>
      <c r="B30" s="1285"/>
      <c r="C30" s="1285"/>
      <c r="D30" s="1285"/>
      <c r="E30" s="1285"/>
      <c r="F30" s="1285"/>
      <c r="G30" s="1285"/>
      <c r="H30" s="1285"/>
      <c r="I30" s="1285"/>
      <c r="J30" s="1285"/>
      <c r="K30" s="1285"/>
      <c r="L30" s="1286"/>
      <c r="M30" s="1285"/>
      <c r="N30" s="1285"/>
      <c r="O30" s="1285"/>
      <c r="S30" s="4751" t="s">
        <v>562</v>
      </c>
      <c r="T30" s="4751"/>
      <c r="U30" s="1289"/>
      <c r="V30" s="4761">
        <f>IF(TITLE_DATE_PR_CHANGE="",IF(TITLE_DATE_PR="","",TITLE_DATE_PR),TITLE_DATE_PR_CHANGE)</f>
        <v>45279.639965277776</v>
      </c>
      <c r="W30" s="4761"/>
      <c r="X30" s="4761"/>
      <c r="Y30" s="4761"/>
      <c r="Z30" s="4761"/>
      <c r="AA30" s="4761"/>
      <c r="AB30" s="4761"/>
      <c r="AC30" s="253"/>
      <c r="AD30" s="4761">
        <f>IF(TITLE_DATE_PR_CHANGE="",IF(TITLE_DATE_PR="","",TITLE_DATE_PR),TITLE_DATE_PR_CHANGE)</f>
        <v>45279.639965277776</v>
      </c>
      <c r="AE30" s="4761"/>
      <c r="AF30" s="4761"/>
      <c r="AG30" s="4761"/>
      <c r="AH30" s="4761"/>
      <c r="AI30" s="4761"/>
      <c r="AJ30" s="4761"/>
      <c r="AK30" s="253"/>
      <c r="AL30" s="253"/>
      <c r="AM30" s="200"/>
      <c r="AN30" s="297"/>
      <c r="AO30" s="297"/>
      <c r="AP30" s="297"/>
      <c r="AQ30" s="297"/>
      <c r="AR30" s="297"/>
    </row>
    <row r="31" spans="1:44" s="1951" customFormat="1" ht="18.75" customHeight="1">
      <c r="A31" s="1285"/>
      <c r="B31" s="1285"/>
      <c r="C31" s="1285"/>
      <c r="D31" s="1285"/>
      <c r="E31" s="1285"/>
      <c r="F31" s="1285"/>
      <c r="G31" s="1285"/>
      <c r="H31" s="1285"/>
      <c r="I31" s="1285"/>
      <c r="J31" s="1285"/>
      <c r="K31" s="1285"/>
      <c r="L31" s="1286"/>
      <c r="M31" s="1285"/>
      <c r="N31" s="1285"/>
      <c r="O31" s="1285"/>
      <c r="S31" s="4751" t="s">
        <v>563</v>
      </c>
      <c r="T31" s="4751"/>
      <c r="U31" s="1289"/>
      <c r="V31" s="4752" t="str">
        <f>IF(TITLE_NUMBER_PR_CHANGE="",IF(TITLE_NUMBER_PR="","",TITLE_NUMBER_PR),TITLE_NUMBER_PR_CHANGE)</f>
        <v>233-П</v>
      </c>
      <c r="W31" s="4752"/>
      <c r="X31" s="4752"/>
      <c r="Y31" s="4752"/>
      <c r="Z31" s="4752"/>
      <c r="AA31" s="4752"/>
      <c r="AB31" s="4752"/>
      <c r="AC31" s="253"/>
      <c r="AD31" s="4752" t="str">
        <f>IF(TITLE_NUMBER_PR_CHANGE="",IF(TITLE_NUMBER_PR="","",TITLE_NUMBER_PR),TITLE_NUMBER_PR_CHANGE)</f>
        <v>233-П</v>
      </c>
      <c r="AE31" s="4752"/>
      <c r="AF31" s="4752"/>
      <c r="AG31" s="4752"/>
      <c r="AH31" s="4752"/>
      <c r="AI31" s="4752"/>
      <c r="AJ31" s="4752"/>
      <c r="AK31" s="253"/>
      <c r="AL31" s="253"/>
      <c r="AM31" s="200"/>
      <c r="AN31" s="297"/>
      <c r="AO31" s="297"/>
      <c r="AP31" s="297"/>
      <c r="AQ31" s="297"/>
      <c r="AR31" s="297"/>
    </row>
    <row r="32" spans="1:44" s="1951" customFormat="1" ht="18.75" customHeight="1">
      <c r="A32" s="1285"/>
      <c r="B32" s="1285"/>
      <c r="C32" s="1285"/>
      <c r="D32" s="1285"/>
      <c r="E32" s="1285"/>
      <c r="F32" s="1285"/>
      <c r="G32" s="1285"/>
      <c r="H32" s="1285"/>
      <c r="I32" s="1285"/>
      <c r="J32" s="1285"/>
      <c r="K32" s="1285"/>
      <c r="L32" s="1286"/>
      <c r="M32" s="1285"/>
      <c r="N32" s="1285"/>
      <c r="O32" s="1285"/>
      <c r="S32" s="4751" t="s">
        <v>40</v>
      </c>
      <c r="T32" s="4751"/>
      <c r="U32" s="1289"/>
      <c r="V32" s="4752" t="str">
        <f>IF(TITLE_IST_PUB_CHANGE="",IF(TITLE_IST_PUB="","",TITLE_IST_PUB),TITLE_IST_PUB_CHANGE)</f>
        <v>сайт Агентства по регулированию цен и тарифов Ульяновской области</v>
      </c>
      <c r="W32" s="4752"/>
      <c r="X32" s="4752"/>
      <c r="Y32" s="4752"/>
      <c r="Z32" s="4752"/>
      <c r="AA32" s="4752"/>
      <c r="AB32" s="4752"/>
      <c r="AC32" s="253"/>
      <c r="AD32" s="4752" t="str">
        <f>IF(TITLE_IST_PUB_CHANGE="",IF(TITLE_IST_PUB="","",TITLE_IST_PUB),TITLE_IST_PUB_CHANGE)</f>
        <v>сайт Агентства по регулированию цен и тарифов Ульяновской области</v>
      </c>
      <c r="AE32" s="4752"/>
      <c r="AF32" s="4752"/>
      <c r="AG32" s="4752"/>
      <c r="AH32" s="4752"/>
      <c r="AI32" s="4752"/>
      <c r="AJ32" s="4752"/>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51" customFormat="1" ht="18.75" hidden="1" customHeight="1">
      <c r="A34" s="1285"/>
      <c r="B34" s="1285"/>
      <c r="C34" s="1285"/>
      <c r="D34" s="1285"/>
      <c r="E34" s="1285"/>
      <c r="F34" s="1285"/>
      <c r="G34" s="1285"/>
      <c r="H34" s="1285"/>
      <c r="I34" s="1285"/>
      <c r="J34" s="1285"/>
      <c r="K34" s="1285"/>
      <c r="L34" s="1286"/>
      <c r="M34" s="1285"/>
      <c r="N34" s="1285"/>
      <c r="O34" s="1285"/>
      <c r="S34" s="4751" t="s">
        <v>564</v>
      </c>
      <c r="T34" s="4751"/>
      <c r="U34" s="1289"/>
      <c r="V34" s="4761">
        <f>IF(TITLE_DATE_PR_CHANGE="",IF(TITLE_DATE_PR="","",TITLE_DATE_PR),TITLE_DATE_PR_CHANGE)</f>
        <v>45279.639965277776</v>
      </c>
      <c r="W34" s="4761"/>
      <c r="X34" s="4761"/>
      <c r="Y34" s="4761"/>
      <c r="Z34" s="4761"/>
      <c r="AA34" s="4761"/>
      <c r="AB34" s="4761"/>
      <c r="AC34" s="253"/>
      <c r="AD34" s="4761">
        <f>IF(TITLE_DATE_PR_CHANGE="",IF(TITLE_DATE_PR="","",TITLE_DATE_PR),TITLE_DATE_PR_CHANGE)</f>
        <v>45279.639965277776</v>
      </c>
      <c r="AE34" s="4761"/>
      <c r="AF34" s="4761"/>
      <c r="AG34" s="4761"/>
      <c r="AH34" s="4761"/>
      <c r="AI34" s="4761"/>
      <c r="AJ34" s="4761"/>
      <c r="AK34" s="253"/>
      <c r="AL34" s="253"/>
      <c r="AM34" s="200"/>
      <c r="AN34" s="297"/>
      <c r="AO34" s="297"/>
      <c r="AP34" s="297"/>
      <c r="AQ34" s="297"/>
      <c r="AR34" s="297"/>
    </row>
    <row r="35" spans="1:44" s="1951" customFormat="1" ht="25.5" hidden="1" customHeight="1">
      <c r="A35" s="1285"/>
      <c r="B35" s="1285"/>
      <c r="C35" s="1285"/>
      <c r="D35" s="1285"/>
      <c r="E35" s="1285"/>
      <c r="F35" s="1285"/>
      <c r="G35" s="1285"/>
      <c r="H35" s="1285"/>
      <c r="I35" s="1285"/>
      <c r="J35" s="1285"/>
      <c r="K35" s="1285"/>
      <c r="L35" s="1286"/>
      <c r="M35" s="1285"/>
      <c r="N35" s="1285"/>
      <c r="O35" s="1285"/>
      <c r="S35" s="4751" t="s">
        <v>565</v>
      </c>
      <c r="T35" s="4751"/>
      <c r="U35" s="1289"/>
      <c r="V35" s="4752" t="str">
        <f>IF(TITLE_NUMBER_PR_CHANGE="",IF(TITLE_NUMBER_PR="","",TITLE_NUMBER_PR),TITLE_NUMBER_PR_CHANGE)</f>
        <v>233-П</v>
      </c>
      <c r="W35" s="4752"/>
      <c r="X35" s="4752"/>
      <c r="Y35" s="4752"/>
      <c r="Z35" s="4752"/>
      <c r="AA35" s="4752"/>
      <c r="AB35" s="4752"/>
      <c r="AC35" s="253"/>
      <c r="AD35" s="4752" t="str">
        <f>IF(TITLE_NUMBER_PR_CHANGE="",IF(TITLE_NUMBER_PR="","",TITLE_NUMBER_PR),TITLE_NUMBER_PR_CHANGE)</f>
        <v>233-П</v>
      </c>
      <c r="AE35" s="4752"/>
      <c r="AF35" s="4752"/>
      <c r="AG35" s="4752"/>
      <c r="AH35" s="4752"/>
      <c r="AI35" s="4752"/>
      <c r="AJ35" s="4752"/>
      <c r="AK35" s="253"/>
      <c r="AL35" s="253"/>
      <c r="AM35" s="200"/>
      <c r="AN35" s="297"/>
      <c r="AO35" s="297"/>
      <c r="AP35" s="297"/>
      <c r="AQ35" s="297"/>
      <c r="AR35" s="297"/>
    </row>
    <row r="36" spans="1:44" s="195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566</v>
      </c>
      <c r="AD36" s="253"/>
      <c r="AE36" s="253"/>
      <c r="AF36" s="253"/>
      <c r="AG36" s="253"/>
      <c r="AH36" s="253"/>
      <c r="AI36" s="253"/>
      <c r="AJ36" s="253"/>
      <c r="AK36" s="198" t="s">
        <v>566</v>
      </c>
      <c r="AN36" s="297"/>
      <c r="AO36" s="297"/>
      <c r="AP36" s="297"/>
      <c r="AQ36" s="297"/>
      <c r="AR36" s="297"/>
    </row>
    <row r="37" spans="1:44" ht="14.25" customHeight="1">
      <c r="Q37" s="306"/>
      <c r="R37" s="306"/>
      <c r="S37" s="1196"/>
      <c r="T37" s="291"/>
      <c r="U37" s="1154"/>
      <c r="V37" s="4753"/>
      <c r="W37" s="4753"/>
      <c r="X37" s="4753"/>
      <c r="Y37" s="4753"/>
      <c r="Z37" s="4753"/>
      <c r="AA37" s="4753"/>
      <c r="AB37" s="4753"/>
      <c r="AC37" s="4753"/>
      <c r="AD37" s="4753"/>
      <c r="AE37" s="4753"/>
      <c r="AF37" s="4753"/>
      <c r="AG37" s="4753"/>
      <c r="AH37" s="4753"/>
      <c r="AI37" s="4753"/>
      <c r="AJ37" s="4753"/>
      <c r="AK37" s="4753"/>
    </row>
    <row r="38" spans="1:44" ht="14.25" customHeight="1">
      <c r="Q38" s="306"/>
      <c r="R38" s="306"/>
      <c r="S38" s="4627" t="s">
        <v>439</v>
      </c>
      <c r="T38" s="4627"/>
      <c r="U38" s="4627"/>
      <c r="V38" s="4627"/>
      <c r="W38" s="4627"/>
      <c r="X38" s="4627"/>
      <c r="Y38" s="4627"/>
      <c r="Z38" s="4627"/>
      <c r="AA38" s="4627"/>
      <c r="AB38" s="4627"/>
      <c r="AC38" s="4627"/>
      <c r="AD38" s="4627"/>
      <c r="AE38" s="4627"/>
      <c r="AF38" s="4627"/>
      <c r="AG38" s="4627"/>
      <c r="AH38" s="4627"/>
      <c r="AI38" s="4627"/>
      <c r="AJ38" s="4627"/>
      <c r="AK38" s="4627"/>
      <c r="AL38" s="4627"/>
      <c r="AM38" s="4627" t="s">
        <v>440</v>
      </c>
    </row>
    <row r="39" spans="1:44" ht="14.25" customHeight="1">
      <c r="Q39" s="306"/>
      <c r="R39" s="306"/>
      <c r="S39" s="4767" t="s">
        <v>86</v>
      </c>
      <c r="T39" s="4719" t="s">
        <v>567</v>
      </c>
      <c r="U39" s="220"/>
      <c r="V39" s="4768" t="s">
        <v>568</v>
      </c>
      <c r="W39" s="4769"/>
      <c r="X39" s="4769"/>
      <c r="Y39" s="4769"/>
      <c r="Z39" s="4769"/>
      <c r="AA39" s="4769"/>
      <c r="AB39" s="4770"/>
      <c r="AC39" s="4771" t="s">
        <v>569</v>
      </c>
      <c r="AD39" s="4768" t="s">
        <v>568</v>
      </c>
      <c r="AE39" s="4769"/>
      <c r="AF39" s="4769"/>
      <c r="AG39" s="4769"/>
      <c r="AH39" s="4769"/>
      <c r="AI39" s="4769"/>
      <c r="AJ39" s="4770"/>
      <c r="AK39" s="4771" t="s">
        <v>570</v>
      </c>
      <c r="AL39" s="4774" t="s">
        <v>571</v>
      </c>
      <c r="AM39" s="4627"/>
    </row>
    <row r="40" spans="1:44" ht="33.75" customHeight="1">
      <c r="Q40" s="306"/>
      <c r="R40" s="306"/>
      <c r="S40" s="4767"/>
      <c r="T40" s="4719"/>
      <c r="U40" s="939"/>
      <c r="V40" s="4689" t="s">
        <v>572</v>
      </c>
      <c r="W40" s="4777"/>
      <c r="X40" s="4598" t="s">
        <v>574</v>
      </c>
      <c r="Y40" s="4597"/>
      <c r="Z40" s="4598" t="s">
        <v>575</v>
      </c>
      <c r="AA40" s="4604"/>
      <c r="AB40" s="4597"/>
      <c r="AC40" s="4772"/>
      <c r="AD40" s="4689" t="s">
        <v>572</v>
      </c>
      <c r="AE40" s="4777"/>
      <c r="AF40" s="4598" t="s">
        <v>574</v>
      </c>
      <c r="AG40" s="4597"/>
      <c r="AH40" s="4598" t="s">
        <v>575</v>
      </c>
      <c r="AI40" s="4604"/>
      <c r="AJ40" s="4597"/>
      <c r="AK40" s="4772"/>
      <c r="AL40" s="4775"/>
      <c r="AM40" s="4627"/>
    </row>
    <row r="41" spans="1:44" ht="33.75" customHeight="1">
      <c r="A41" s="1287"/>
      <c r="B41" s="1287" t="s">
        <v>197</v>
      </c>
      <c r="C41" s="1287" t="s">
        <v>198</v>
      </c>
      <c r="D41" s="1287" t="s">
        <v>199</v>
      </c>
      <c r="E41" s="1281" t="s">
        <v>576</v>
      </c>
      <c r="F41" s="1281" t="s">
        <v>577</v>
      </c>
      <c r="G41" s="1281" t="s">
        <v>578</v>
      </c>
      <c r="H41" s="1281" t="s">
        <v>579</v>
      </c>
      <c r="I41" s="1281" t="s">
        <v>580</v>
      </c>
      <c r="J41" s="1281" t="s">
        <v>581</v>
      </c>
      <c r="K41" s="1281" t="s">
        <v>582</v>
      </c>
      <c r="L41" s="1281" t="s">
        <v>557</v>
      </c>
      <c r="Q41" s="306"/>
      <c r="R41" s="306"/>
      <c r="S41" s="4767"/>
      <c r="T41" s="4719"/>
      <c r="U41" s="221"/>
      <c r="V41" s="4738"/>
      <c r="W41" s="4778"/>
      <c r="X41" s="1129" t="s">
        <v>583</v>
      </c>
      <c r="Y41" s="1129" t="s">
        <v>584</v>
      </c>
      <c r="Z41" s="1256" t="s">
        <v>585</v>
      </c>
      <c r="AA41" s="4727" t="s">
        <v>586</v>
      </c>
      <c r="AB41" s="4729"/>
      <c r="AC41" s="4773"/>
      <c r="AD41" s="4738"/>
      <c r="AE41" s="4778"/>
      <c r="AF41" s="1129" t="s">
        <v>583</v>
      </c>
      <c r="AG41" s="1129" t="s">
        <v>584</v>
      </c>
      <c r="AH41" s="1256" t="s">
        <v>585</v>
      </c>
      <c r="AI41" s="4727" t="s">
        <v>586</v>
      </c>
      <c r="AJ41" s="4729"/>
      <c r="AK41" s="4773"/>
      <c r="AL41" s="4776"/>
      <c r="AM41" s="4627"/>
    </row>
    <row r="42" spans="1:44" s="1820"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174</v>
      </c>
      <c r="T42" s="1173" t="s">
        <v>101</v>
      </c>
      <c r="U42" s="1155" t="str">
        <f ca="1">OFFSET(U42,0,-1)</f>
        <v>2</v>
      </c>
      <c r="V42" s="1253">
        <f ca="1">OFFSET(V42,0,-1)+1</f>
        <v>3</v>
      </c>
      <c r="W42" s="1253"/>
      <c r="X42" s="1253">
        <f ca="1">OFFSET(X42,0,-1)+1</f>
        <v>1</v>
      </c>
      <c r="Y42" s="1253">
        <f ca="1">OFFSET(Y42,0,-1)+1</f>
        <v>2</v>
      </c>
      <c r="Z42" s="1253">
        <f ca="1">OFFSET(Z42,0,-1)+1</f>
        <v>3</v>
      </c>
      <c r="AA42" s="4766">
        <f ca="1">OFFSET(AA42,0,-1)+1</f>
        <v>4</v>
      </c>
      <c r="AB42" s="4766"/>
      <c r="AC42" s="1253">
        <f ca="1">OFFSET(AC42,0,-2)+1</f>
        <v>5</v>
      </c>
      <c r="AD42" s="1253">
        <f ca="1">OFFSET(AD42,0,-1)+1</f>
        <v>6</v>
      </c>
      <c r="AE42" s="1253"/>
      <c r="AF42" s="1253">
        <f ca="1">OFFSET(AF42,0,-1)+1</f>
        <v>1</v>
      </c>
      <c r="AG42" s="1253">
        <f ca="1">OFFSET(AG42,0,-1)+1</f>
        <v>2</v>
      </c>
      <c r="AH42" s="1253">
        <f ca="1">OFFSET(AH42,0,-1)+1</f>
        <v>3</v>
      </c>
      <c r="AI42" s="4766">
        <f ca="1">OFFSET(AI42,0,-1)+1</f>
        <v>4</v>
      </c>
      <c r="AJ42" s="4766"/>
      <c r="AK42" s="1253">
        <f ca="1">OFFSET(AK42,0,-2)+1</f>
        <v>5</v>
      </c>
      <c r="AL42" s="1155">
        <f ca="1">OFFSET(AL42,0,-1)</f>
        <v>5</v>
      </c>
      <c r="AM42" s="1253">
        <f ca="1">OFFSET(AM42,0,-1)+1</f>
        <v>6</v>
      </c>
      <c r="AN42" s="438"/>
      <c r="AO42" s="438"/>
      <c r="AP42" s="438"/>
      <c r="AQ42" s="438"/>
      <c r="AR42" s="438"/>
    </row>
    <row r="43" spans="1:44" ht="21" customHeight="1">
      <c r="A43" s="1280" t="s">
        <v>245</v>
      </c>
      <c r="B43" s="1280"/>
      <c r="C43" s="1280"/>
      <c r="D43" s="1280"/>
      <c r="E43" s="4759">
        <v>1</v>
      </c>
      <c r="F43" s="1280"/>
      <c r="G43" s="1280"/>
      <c r="H43" s="1280"/>
      <c r="I43" s="1280"/>
      <c r="J43" s="1280"/>
      <c r="K43" s="1280"/>
      <c r="L43" s="1281"/>
      <c r="M43" s="1282"/>
      <c r="N43" s="1282"/>
      <c r="O43" s="1282"/>
      <c r="P43" s="287"/>
      <c r="Q43" s="286"/>
      <c r="R43" s="281"/>
      <c r="S43" s="1254">
        <f>INDEX(PT_DIFFERENTIATION_NUM_NTAR,MATCH(A43,PT_DIFFERENTIATION_NTAR_ID,0))</f>
        <v>0</v>
      </c>
      <c r="T43" s="217" t="s">
        <v>185</v>
      </c>
      <c r="U43" s="219"/>
      <c r="V43" s="4745"/>
      <c r="W43" s="4746"/>
      <c r="X43" s="4746"/>
      <c r="Y43" s="4746"/>
      <c r="Z43" s="4746"/>
      <c r="AA43" s="4746"/>
      <c r="AB43" s="4746"/>
      <c r="AC43" s="4747"/>
      <c r="AD43" s="4745" t="str">
        <f>INDEX(PT_DIFFERENTIATION_NTAR,MATCH(A43,PT_DIFFERENTIATION_NTAR_ID,0))</f>
        <v/>
      </c>
      <c r="AE43" s="4746"/>
      <c r="AF43" s="4746"/>
      <c r="AG43" s="4746"/>
      <c r="AH43" s="4746"/>
      <c r="AI43" s="4746"/>
      <c r="AJ43" s="4746"/>
      <c r="AK43" s="4746"/>
      <c r="AL43" s="474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245</v>
      </c>
      <c r="B44" s="1280" t="s">
        <v>246</v>
      </c>
      <c r="C44" s="1280"/>
      <c r="D44" s="1280"/>
      <c r="E44" s="4760"/>
      <c r="F44" s="4759">
        <v>1</v>
      </c>
      <c r="G44" s="1280"/>
      <c r="H44" s="1280"/>
      <c r="I44" s="1280"/>
      <c r="J44" s="1280"/>
      <c r="K44" s="1280"/>
      <c r="L44" s="1281"/>
      <c r="M44" s="1282"/>
      <c r="N44" s="1282"/>
      <c r="O44" s="1282"/>
      <c r="P44" s="1250"/>
      <c r="Q44" s="278"/>
      <c r="R44" s="279"/>
      <c r="S44" s="1254" t="str">
        <f>INDEX(PT_DIFFERENTIATION_NUM_TER,MATCH(B44,PT_DIFFERENTIATION_TER_ID,0))</f>
        <v>.</v>
      </c>
      <c r="T44" s="229" t="s">
        <v>538</v>
      </c>
      <c r="U44" s="219"/>
      <c r="V44" s="4745"/>
      <c r="W44" s="4746"/>
      <c r="X44" s="4746"/>
      <c r="Y44" s="4746"/>
      <c r="Z44" s="4746"/>
      <c r="AA44" s="4746"/>
      <c r="AB44" s="4746"/>
      <c r="AC44" s="4747"/>
      <c r="AD44" s="4745" t="str">
        <f>INDEX(PT_DIFFERENTIATION_TER,MATCH(B44,PT_DIFFERENTIATION_TER_ID,0))</f>
        <v/>
      </c>
      <c r="AE44" s="4746"/>
      <c r="AF44" s="4746"/>
      <c r="AG44" s="4746"/>
      <c r="AH44" s="4746"/>
      <c r="AI44" s="4746"/>
      <c r="AJ44" s="4746"/>
      <c r="AK44" s="4746"/>
      <c r="AL44" s="4747"/>
      <c r="AM44" s="1178" t="s">
        <v>539</v>
      </c>
      <c r="AO44" s="427"/>
      <c r="AP44" s="427" t="str">
        <f t="shared" si="1"/>
        <v>Территория действия тарифа</v>
      </c>
      <c r="AQ44" s="427"/>
      <c r="AR44" s="427"/>
    </row>
    <row r="45" spans="1:44" ht="23.25" customHeight="1">
      <c r="A45" s="1280" t="s">
        <v>245</v>
      </c>
      <c r="B45" s="1280" t="s">
        <v>246</v>
      </c>
      <c r="C45" s="1280" t="s">
        <v>247</v>
      </c>
      <c r="D45" s="1280"/>
      <c r="E45" s="4760"/>
      <c r="F45" s="4760"/>
      <c r="G45" s="4759">
        <v>1</v>
      </c>
      <c r="H45" s="1280"/>
      <c r="I45" s="1280"/>
      <c r="J45" s="1280"/>
      <c r="K45" s="1280"/>
      <c r="L45" s="1281"/>
      <c r="M45" s="1282"/>
      <c r="N45" s="1282"/>
      <c r="O45" s="1282"/>
      <c r="P45" s="280"/>
      <c r="Q45" s="278"/>
      <c r="R45" s="279"/>
      <c r="S45" s="1254" t="str">
        <f>INDEX(PT_DIFFERENTIATION_NUM_CS,MATCH(C45,PT_DIFFERENTIATION_CS_ID,0))</f>
        <v>..</v>
      </c>
      <c r="T45" s="230" t="s">
        <v>540</v>
      </c>
      <c r="U45" s="219"/>
      <c r="V45" s="4745"/>
      <c r="W45" s="4746"/>
      <c r="X45" s="4746"/>
      <c r="Y45" s="4746"/>
      <c r="Z45" s="4746"/>
      <c r="AA45" s="4746"/>
      <c r="AB45" s="4746"/>
      <c r="AC45" s="4747"/>
      <c r="AD45" s="4745" t="str">
        <f>INDEX(PT_DIFFERENTIATION_CS,MATCH(C45,PT_DIFFERENTIATION_CS_ID,0))</f>
        <v/>
      </c>
      <c r="AE45" s="4746"/>
      <c r="AF45" s="4746"/>
      <c r="AG45" s="4746"/>
      <c r="AH45" s="4746"/>
      <c r="AI45" s="4746"/>
      <c r="AJ45" s="4746"/>
      <c r="AK45" s="4746"/>
      <c r="AL45" s="4747"/>
      <c r="AM45" s="1178" t="s">
        <v>541</v>
      </c>
      <c r="AO45" s="427"/>
      <c r="AP45" s="427" t="str">
        <f t="shared" si="1"/>
        <v xml:space="preserve">Наименование системы теплоснабжения </v>
      </c>
      <c r="AQ45" s="427"/>
      <c r="AR45" s="427"/>
    </row>
    <row r="46" spans="1:44" ht="21" customHeight="1">
      <c r="A46" s="1280" t="s">
        <v>245</v>
      </c>
      <c r="B46" s="1280" t="s">
        <v>246</v>
      </c>
      <c r="C46" s="1280" t="s">
        <v>247</v>
      </c>
      <c r="D46" s="1280" t="s">
        <v>248</v>
      </c>
      <c r="E46" s="4760"/>
      <c r="F46" s="4760"/>
      <c r="G46" s="4760"/>
      <c r="H46" s="4759">
        <v>1</v>
      </c>
      <c r="I46" s="1280"/>
      <c r="J46" s="1280"/>
      <c r="K46" s="1280"/>
      <c r="L46" s="1281"/>
      <c r="M46" s="1282"/>
      <c r="N46" s="1282"/>
      <c r="O46" s="1282"/>
      <c r="P46" s="280"/>
      <c r="Q46" s="278"/>
      <c r="R46" s="279"/>
      <c r="S46" s="1254" t="str">
        <f>INDEX(PT_DIFFERENTIATION_NUM_IST_TE,MATCH(D46,PT_DIFFERENTIATION_IST_TE_ID,0))</f>
        <v>...</v>
      </c>
      <c r="T46" s="231" t="s">
        <v>542</v>
      </c>
      <c r="U46" s="219"/>
      <c r="V46" s="4745"/>
      <c r="W46" s="4746"/>
      <c r="X46" s="4746"/>
      <c r="Y46" s="4746"/>
      <c r="Z46" s="4746"/>
      <c r="AA46" s="4746"/>
      <c r="AB46" s="4746"/>
      <c r="AC46" s="4747"/>
      <c r="AD46" s="4745" t="str">
        <f>INDEX(PT_DIFFERENTIATION_IST_TE,MATCH(D46,PT_DIFFERENTIATION_IST_TE_ID,0))</f>
        <v/>
      </c>
      <c r="AE46" s="4746"/>
      <c r="AF46" s="4746"/>
      <c r="AG46" s="4746"/>
      <c r="AH46" s="4746"/>
      <c r="AI46" s="4746"/>
      <c r="AJ46" s="4746"/>
      <c r="AK46" s="4746"/>
      <c r="AL46" s="4747"/>
      <c r="AM46" s="1178" t="s">
        <v>543</v>
      </c>
      <c r="AO46" s="427"/>
      <c r="AP46" s="427" t="str">
        <f t="shared" si="1"/>
        <v xml:space="preserve">Источник тепловой энергии  </v>
      </c>
      <c r="AQ46" s="427"/>
      <c r="AR46" s="427"/>
    </row>
    <row r="47" spans="1:44" s="1821" customFormat="1" ht="0" hidden="1" customHeight="1">
      <c r="A47" s="1261" t="s">
        <v>245</v>
      </c>
      <c r="B47" s="1261" t="s">
        <v>246</v>
      </c>
      <c r="C47" s="1261" t="s">
        <v>247</v>
      </c>
      <c r="D47" s="1261" t="s">
        <v>248</v>
      </c>
      <c r="E47" s="4760"/>
      <c r="F47" s="4760"/>
      <c r="G47" s="4760"/>
      <c r="H47" s="4760"/>
      <c r="I47" s="4757" t="str">
        <f>S46&amp;".1"</f>
        <v>....1</v>
      </c>
      <c r="J47" s="1261"/>
      <c r="K47" s="1261"/>
      <c r="L47" s="1264" t="s">
        <v>544</v>
      </c>
      <c r="M47" s="437"/>
      <c r="N47" s="437"/>
      <c r="O47" s="437"/>
      <c r="P47" s="4758">
        <v>1</v>
      </c>
      <c r="Q47" s="1249"/>
      <c r="R47" s="282"/>
      <c r="S47" s="950"/>
      <c r="T47" s="1300"/>
      <c r="U47" s="1301"/>
      <c r="V47" s="4786"/>
      <c r="W47" s="4787"/>
      <c r="X47" s="4787"/>
      <c r="Y47" s="4787"/>
      <c r="Z47" s="4787"/>
      <c r="AA47" s="4787"/>
      <c r="AB47" s="4787"/>
      <c r="AC47" s="4788"/>
      <c r="AD47" s="4786"/>
      <c r="AE47" s="4787"/>
      <c r="AF47" s="4787"/>
      <c r="AG47" s="4787"/>
      <c r="AH47" s="4787"/>
      <c r="AI47" s="4787"/>
      <c r="AJ47" s="4787"/>
      <c r="AK47" s="4787"/>
      <c r="AL47" s="4788"/>
      <c r="AM47" s="1302"/>
      <c r="AO47" s="427"/>
      <c r="AP47" s="427" t="str">
        <f t="shared" si="1"/>
        <v/>
      </c>
      <c r="AQ47" s="427"/>
      <c r="AR47" s="427"/>
    </row>
    <row r="48" spans="1:44" ht="21" customHeight="1">
      <c r="A48" s="1280" t="s">
        <v>245</v>
      </c>
      <c r="B48" s="1280" t="s">
        <v>246</v>
      </c>
      <c r="C48" s="1280" t="s">
        <v>247</v>
      </c>
      <c r="D48" s="1280" t="s">
        <v>248</v>
      </c>
      <c r="E48" s="4760"/>
      <c r="F48" s="4760"/>
      <c r="G48" s="4760"/>
      <c r="H48" s="4760"/>
      <c r="I48" s="4780"/>
      <c r="J48" s="4757" t="str">
        <f>S46&amp;".1"</f>
        <v>....1</v>
      </c>
      <c r="K48" s="1280"/>
      <c r="L48" s="1281" t="s">
        <v>547</v>
      </c>
      <c r="P48" s="4758"/>
      <c r="Q48" s="4758">
        <v>1</v>
      </c>
      <c r="R48" s="283"/>
      <c r="S48" s="1254" t="str">
        <f>$J48</f>
        <v>....1</v>
      </c>
      <c r="T48" s="205" t="s">
        <v>548</v>
      </c>
      <c r="U48" s="219"/>
      <c r="V48" s="4748"/>
      <c r="W48" s="4749"/>
      <c r="X48" s="4749"/>
      <c r="Y48" s="4749"/>
      <c r="Z48" s="4749"/>
      <c r="AA48" s="4749"/>
      <c r="AB48" s="4749"/>
      <c r="AC48" s="4750"/>
      <c r="AD48" s="4748"/>
      <c r="AE48" s="4749"/>
      <c r="AF48" s="4749"/>
      <c r="AG48" s="4749"/>
      <c r="AH48" s="4749"/>
      <c r="AI48" s="4749"/>
      <c r="AJ48" s="4749"/>
      <c r="AK48" s="4749"/>
      <c r="AL48" s="4750"/>
      <c r="AM48" s="1178" t="s">
        <v>549</v>
      </c>
      <c r="AO48" s="427"/>
      <c r="AP48" s="427" t="str">
        <f t="shared" si="1"/>
        <v>Группа потребителей</v>
      </c>
      <c r="AQ48" s="427"/>
      <c r="AR48" s="427"/>
    </row>
    <row r="49" spans="1:44" ht="21" customHeight="1">
      <c r="A49" s="1280" t="s">
        <v>245</v>
      </c>
      <c r="B49" s="1280" t="s">
        <v>246</v>
      </c>
      <c r="C49" s="1280" t="s">
        <v>247</v>
      </c>
      <c r="D49" s="1280" t="s">
        <v>248</v>
      </c>
      <c r="E49" s="4760"/>
      <c r="F49" s="4760"/>
      <c r="G49" s="4760"/>
      <c r="H49" s="4760"/>
      <c r="I49" s="4780"/>
      <c r="J49" s="4780"/>
      <c r="K49" s="4757" t="str">
        <f>J48&amp;".1"</f>
        <v>....1.1</v>
      </c>
      <c r="L49" s="1281" t="s">
        <v>550</v>
      </c>
      <c r="P49" s="4758"/>
      <c r="Q49" s="4758"/>
      <c r="R49" s="283">
        <v>1</v>
      </c>
      <c r="S49" s="1254" t="str">
        <f>$K49</f>
        <v>....1.1</v>
      </c>
      <c r="T49" s="1265"/>
      <c r="U49" s="219"/>
      <c r="V49" s="669"/>
      <c r="W49" s="251"/>
      <c r="X49" s="669"/>
      <c r="Y49" s="1177"/>
      <c r="Z49" s="4762"/>
      <c r="AA49" s="4608" t="s">
        <v>65</v>
      </c>
      <c r="AB49" s="4762"/>
      <c r="AC49" s="4608" t="s">
        <v>65</v>
      </c>
      <c r="AD49" s="669"/>
      <c r="AE49" s="251"/>
      <c r="AF49" s="669"/>
      <c r="AG49" s="1177"/>
      <c r="AH49" s="4762"/>
      <c r="AI49" s="4608" t="s">
        <v>65</v>
      </c>
      <c r="AJ49" s="4781"/>
      <c r="AK49" s="4608" t="s">
        <v>65</v>
      </c>
      <c r="AL49" s="1266"/>
      <c r="AM49" s="4754" t="s">
        <v>588</v>
      </c>
      <c r="AN49" s="438" t="e">
        <f ca="1">STRCHECKDATE(V50:AL50)</f>
        <v>#NAME?</v>
      </c>
      <c r="AO49" s="427"/>
      <c r="AP49" s="427" t="str">
        <f t="shared" si="1"/>
        <v/>
      </c>
      <c r="AQ49" s="427"/>
      <c r="AR49" s="427"/>
    </row>
    <row r="50" spans="1:44" ht="0" hidden="1" customHeight="1">
      <c r="A50" s="1280" t="s">
        <v>245</v>
      </c>
      <c r="B50" s="1280" t="s">
        <v>246</v>
      </c>
      <c r="C50" s="1280" t="s">
        <v>247</v>
      </c>
      <c r="D50" s="1280" t="s">
        <v>248</v>
      </c>
      <c r="E50" s="4760"/>
      <c r="F50" s="4760"/>
      <c r="G50" s="4760"/>
      <c r="H50" s="4760"/>
      <c r="I50" s="4780"/>
      <c r="J50" s="4780"/>
      <c r="K50" s="4757"/>
      <c r="L50" s="1281"/>
      <c r="P50" s="4758"/>
      <c r="Q50" s="4758"/>
      <c r="R50" s="283"/>
      <c r="S50" s="1260"/>
      <c r="T50" s="219"/>
      <c r="U50" s="219"/>
      <c r="V50" s="251"/>
      <c r="W50" s="251"/>
      <c r="X50" s="251"/>
      <c r="Y50" s="255" t="str">
        <f>Z49&amp;"-"&amp;AB49</f>
        <v>-</v>
      </c>
      <c r="Z50" s="4763"/>
      <c r="AA50" s="4608"/>
      <c r="AB50" s="4763"/>
      <c r="AC50" s="4608"/>
      <c r="AD50" s="251"/>
      <c r="AE50" s="251"/>
      <c r="AF50" s="251"/>
      <c r="AG50" s="255" t="str">
        <f>AH49&amp;"-"&amp;AJ49</f>
        <v>-</v>
      </c>
      <c r="AH50" s="4763"/>
      <c r="AI50" s="4608"/>
      <c r="AJ50" s="4782"/>
      <c r="AK50" s="4608"/>
      <c r="AL50" s="1267"/>
      <c r="AM50" s="4755"/>
      <c r="AO50" s="427"/>
      <c r="AP50" s="427" t="str">
        <f t="shared" si="1"/>
        <v/>
      </c>
      <c r="AQ50" s="427"/>
      <c r="AR50" s="427"/>
    </row>
    <row r="51" spans="1:44" ht="11.25" customHeight="1">
      <c r="A51" s="1280" t="s">
        <v>245</v>
      </c>
      <c r="B51" s="1280" t="s">
        <v>246</v>
      </c>
      <c r="C51" s="1280" t="s">
        <v>247</v>
      </c>
      <c r="D51" s="1280" t="s">
        <v>248</v>
      </c>
      <c r="E51" s="4760"/>
      <c r="F51" s="4760"/>
      <c r="G51" s="4760"/>
      <c r="H51" s="4760"/>
      <c r="I51" s="4780"/>
      <c r="J51" s="4757"/>
      <c r="K51" s="1280"/>
      <c r="L51" s="1281"/>
      <c r="P51" s="4758"/>
      <c r="Q51" s="4758"/>
      <c r="R51" s="282"/>
      <c r="S51" s="1199"/>
      <c r="T51" s="206" t="s">
        <v>552</v>
      </c>
      <c r="U51" s="296"/>
      <c r="V51" s="296"/>
      <c r="W51" s="296"/>
      <c r="X51" s="296"/>
      <c r="Y51" s="296"/>
      <c r="Z51" s="296"/>
      <c r="AA51" s="296"/>
      <c r="AB51" s="296"/>
      <c r="AC51" s="296"/>
      <c r="AD51" s="296"/>
      <c r="AE51" s="296"/>
      <c r="AF51" s="296"/>
      <c r="AG51" s="296"/>
      <c r="AH51" s="296"/>
      <c r="AI51" s="296"/>
      <c r="AJ51" s="296"/>
      <c r="AK51" s="296"/>
      <c r="AL51" s="250"/>
      <c r="AM51" s="4756"/>
      <c r="AO51" s="427"/>
      <c r="AP51" s="427" t="str">
        <f t="shared" si="1"/>
        <v>Добавить вид теплоносителя (параметры теплоносителя)</v>
      </c>
      <c r="AQ51" s="427"/>
      <c r="AR51" s="427"/>
    </row>
    <row r="52" spans="1:44" ht="11.25" customHeight="1">
      <c r="A52" s="1280" t="s">
        <v>245</v>
      </c>
      <c r="B52" s="1280" t="s">
        <v>246</v>
      </c>
      <c r="C52" s="1280" t="s">
        <v>247</v>
      </c>
      <c r="D52" s="1280" t="s">
        <v>248</v>
      </c>
      <c r="E52" s="4760"/>
      <c r="F52" s="4760"/>
      <c r="G52" s="4760"/>
      <c r="H52" s="4760"/>
      <c r="I52" s="4757"/>
      <c r="J52" s="1280"/>
      <c r="K52" s="1280"/>
      <c r="L52" s="1281"/>
      <c r="P52" s="4758"/>
      <c r="Q52" s="1249"/>
      <c r="R52" s="282"/>
      <c r="S52" s="1199"/>
      <c r="T52" s="293" t="s">
        <v>553</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245</v>
      </c>
      <c r="B53" s="1280" t="s">
        <v>246</v>
      </c>
      <c r="C53" s="1280" t="s">
        <v>247</v>
      </c>
      <c r="D53" s="1280" t="s">
        <v>248</v>
      </c>
      <c r="E53" s="4760"/>
      <c r="F53" s="4760"/>
      <c r="G53" s="4760"/>
      <c r="H53" s="4759"/>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46" customFormat="1" ht="0" hidden="1" customHeight="1">
      <c r="A54" s="1261" t="s">
        <v>245</v>
      </c>
      <c r="B54" s="1261" t="s">
        <v>246</v>
      </c>
      <c r="C54" s="1261" t="s">
        <v>247</v>
      </c>
      <c r="D54" s="1233"/>
      <c r="E54" s="4760"/>
      <c r="F54" s="4760"/>
      <c r="G54" s="4759"/>
      <c r="H54" s="1233"/>
      <c r="I54" s="1233"/>
      <c r="J54" s="1233"/>
      <c r="K54" s="1233"/>
      <c r="L54" s="1257"/>
      <c r="M54" s="1234"/>
      <c r="N54" s="1234"/>
      <c r="P54" s="1235"/>
      <c r="Q54" s="1236"/>
      <c r="R54" s="1235"/>
      <c r="S54" s="1241"/>
      <c r="T54" s="1244" t="s">
        <v>555</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46" customFormat="1" ht="0" hidden="1" customHeight="1">
      <c r="A55" s="1261" t="s">
        <v>245</v>
      </c>
      <c r="B55" s="1261" t="s">
        <v>246</v>
      </c>
      <c r="C55" s="1233"/>
      <c r="D55" s="1233"/>
      <c r="E55" s="4760"/>
      <c r="F55" s="4759"/>
      <c r="G55" s="1233"/>
      <c r="H55" s="1233"/>
      <c r="I55" s="1233"/>
      <c r="J55" s="1233"/>
      <c r="K55" s="1233"/>
      <c r="L55" s="1257"/>
      <c r="M55" s="1240"/>
      <c r="N55" s="1240"/>
      <c r="P55" s="1235"/>
      <c r="Q55" s="1236"/>
      <c r="R55" s="1235"/>
      <c r="S55" s="1241"/>
      <c r="T55" s="1244" t="s">
        <v>316</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21" customFormat="1" ht="0" hidden="1" customHeight="1">
      <c r="A56" s="1261" t="s">
        <v>245</v>
      </c>
      <c r="B56" s="1261"/>
      <c r="C56" s="1261"/>
      <c r="D56" s="1261"/>
      <c r="E56" s="4759"/>
      <c r="F56" s="1261"/>
      <c r="G56" s="1261"/>
      <c r="H56" s="1261"/>
      <c r="I56" s="1261"/>
      <c r="J56" s="1261"/>
      <c r="K56" s="1261"/>
      <c r="L56" s="1264"/>
      <c r="M56" s="1240"/>
      <c r="N56" s="1240"/>
      <c r="O56" s="445"/>
      <c r="P56" s="314"/>
      <c r="Q56" s="1262"/>
      <c r="R56" s="314"/>
      <c r="S56" s="1241"/>
      <c r="T56" s="1244" t="s">
        <v>317</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46" customFormat="1" ht="5.25" customHeight="1">
      <c r="A57" s="1233"/>
      <c r="B57" s="1233"/>
      <c r="C57" s="1233"/>
      <c r="D57" s="1233"/>
      <c r="E57" s="1261"/>
      <c r="F57" s="1233"/>
      <c r="G57" s="1233"/>
      <c r="H57" s="1233"/>
      <c r="I57" s="1233"/>
      <c r="J57" s="1233"/>
      <c r="K57" s="1233"/>
      <c r="L57" s="1257"/>
      <c r="M57" s="1240"/>
      <c r="N57" s="1240"/>
      <c r="P57" s="1235"/>
      <c r="Q57" s="1236"/>
      <c r="R57" s="1235"/>
      <c r="S57" s="1241"/>
      <c r="T57" s="1244" t="s">
        <v>407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4.25" customHeight="1">
      <c r="O59" s="463"/>
      <c r="S59" s="1165"/>
      <c r="T59" s="4779"/>
      <c r="U59" s="4779"/>
      <c r="V59" s="4779"/>
      <c r="W59" s="4779"/>
      <c r="X59" s="4779"/>
      <c r="Y59" s="4779"/>
      <c r="Z59" s="4779"/>
      <c r="AA59" s="4779"/>
      <c r="AB59" s="4779"/>
      <c r="AC59" s="4779"/>
      <c r="AD59" s="4779"/>
      <c r="AE59" s="4779"/>
      <c r="AF59" s="4779"/>
      <c r="AG59" s="4779"/>
      <c r="AH59" s="4779"/>
      <c r="AI59" s="4779"/>
      <c r="AJ59" s="4779"/>
      <c r="AK59" s="4779"/>
      <c r="AL59" s="4779"/>
      <c r="AM59" s="4779"/>
    </row>
    <row r="60" spans="1:44" ht="14.25" customHeight="1">
      <c r="O60" s="463"/>
      <c r="T60" s="4779"/>
      <c r="U60" s="4779"/>
      <c r="V60" s="4779"/>
      <c r="W60" s="4779"/>
      <c r="X60" s="4779"/>
      <c r="Y60" s="4779"/>
      <c r="Z60" s="4779"/>
      <c r="AA60" s="4779"/>
      <c r="AB60" s="4779"/>
      <c r="AC60" s="4779"/>
      <c r="AD60" s="4779"/>
      <c r="AE60" s="4779"/>
      <c r="AF60" s="4779"/>
      <c r="AG60" s="4779"/>
      <c r="AH60" s="4779"/>
      <c r="AI60" s="4779"/>
      <c r="AJ60" s="4779"/>
      <c r="AK60" s="4779"/>
      <c r="AL60" s="4779"/>
      <c r="AM60" s="4779"/>
    </row>
    <row r="61" spans="1:44" ht="14.25" customHeight="1">
      <c r="O61" s="463"/>
      <c r="T61" s="4779"/>
      <c r="U61" s="4779"/>
      <c r="V61" s="4779"/>
      <c r="W61" s="4779"/>
      <c r="X61" s="4779"/>
      <c r="Y61" s="4779"/>
      <c r="Z61" s="4779"/>
      <c r="AA61" s="4779"/>
      <c r="AB61" s="4779"/>
      <c r="AC61" s="4779"/>
      <c r="AD61" s="4779"/>
      <c r="AE61" s="4779"/>
      <c r="AF61" s="4779"/>
      <c r="AG61" s="4779"/>
      <c r="AH61" s="4779"/>
      <c r="AI61" s="4779"/>
      <c r="AJ61" s="4779"/>
      <c r="AK61" s="4779"/>
      <c r="AL61" s="4779"/>
      <c r="AM61" s="4779"/>
    </row>
    <row r="62" spans="1:44" ht="14.25" customHeight="1">
      <c r="O62" s="463"/>
    </row>
    <row r="63" spans="1:44" ht="14.25" customHeight="1">
      <c r="O63" s="463"/>
      <c r="S63" s="1165"/>
      <c r="T63" s="4672"/>
      <c r="U63" s="4779"/>
      <c r="V63" s="4779"/>
      <c r="W63" s="4779"/>
      <c r="X63" s="4779"/>
      <c r="Y63" s="4779"/>
      <c r="Z63" s="4779"/>
      <c r="AA63" s="4779"/>
      <c r="AB63" s="4779"/>
      <c r="AC63" s="4779"/>
      <c r="AD63" s="4779"/>
      <c r="AE63" s="4779"/>
      <c r="AF63" s="4779"/>
      <c r="AG63" s="4779"/>
      <c r="AH63" s="4779"/>
      <c r="AI63" s="4779"/>
      <c r="AJ63" s="4779"/>
      <c r="AK63" s="4779"/>
      <c r="AL63" s="4779"/>
      <c r="AM63" s="4779"/>
    </row>
    <row r="64" spans="1:44" ht="14.25" customHeight="1">
      <c r="O64" s="463"/>
      <c r="T64" s="4779"/>
      <c r="U64" s="4779"/>
      <c r="V64" s="4779"/>
      <c r="W64" s="4779"/>
      <c r="X64" s="4779"/>
      <c r="Y64" s="4779"/>
      <c r="Z64" s="4779"/>
      <c r="AA64" s="4779"/>
      <c r="AB64" s="4779"/>
      <c r="AC64" s="4779"/>
      <c r="AD64" s="4779"/>
      <c r="AE64" s="4779"/>
      <c r="AF64" s="4779"/>
      <c r="AG64" s="4779"/>
      <c r="AH64" s="4779"/>
      <c r="AI64" s="4779"/>
      <c r="AJ64" s="4779"/>
      <c r="AK64" s="4779"/>
      <c r="AL64" s="4779"/>
      <c r="AM64" s="4779"/>
    </row>
    <row r="65" spans="20:39" ht="14.25" customHeight="1">
      <c r="T65" s="4779"/>
      <c r="U65" s="4779"/>
      <c r="V65" s="4779"/>
      <c r="W65" s="4779"/>
      <c r="X65" s="4779"/>
      <c r="Y65" s="4779"/>
      <c r="Z65" s="4779"/>
      <c r="AA65" s="4779"/>
      <c r="AB65" s="4779"/>
      <c r="AC65" s="4779"/>
      <c r="AD65" s="4779"/>
      <c r="AE65" s="4779"/>
      <c r="AF65" s="4779"/>
      <c r="AG65" s="4779"/>
      <c r="AH65" s="4779"/>
      <c r="AI65" s="4779"/>
      <c r="AJ65" s="4779"/>
      <c r="AK65" s="4779"/>
      <c r="AL65" s="4779"/>
      <c r="AM65" s="4779"/>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21" hidden="1"/>
    <col min="2" max="2" width="11" style="1921" hidden="1" customWidth="1"/>
    <col min="3" max="3" width="10.5703125" style="1921" hidden="1"/>
    <col min="4" max="4" width="11.85546875" style="1921" hidden="1" customWidth="1"/>
    <col min="5" max="5" width="10" style="1921" hidden="1" customWidth="1"/>
    <col min="6" max="6" width="8.7109375" style="1921" hidden="1" customWidth="1"/>
    <col min="7" max="7" width="7.5703125" style="1921" hidden="1" customWidth="1"/>
    <col min="8" max="8" width="11.42578125" style="1921" hidden="1" customWidth="1"/>
    <col min="9" max="9" width="12" style="1921" hidden="1" customWidth="1"/>
    <col min="10" max="10" width="9.85546875" style="1921" hidden="1" customWidth="1"/>
    <col min="11" max="12" width="11.42578125" style="1921" hidden="1" customWidth="1"/>
    <col min="13" max="13" width="19.140625" style="1958" hidden="1" customWidth="1"/>
    <col min="14" max="15" width="12.28515625" style="1952" hidden="1" customWidth="1"/>
    <col min="16" max="16" width="23.42578125" style="1952" hidden="1" customWidth="1"/>
    <col min="17" max="17" width="3.7109375" style="1952" hidden="1" customWidth="1"/>
    <col min="18" max="20" width="3.7109375" style="1954" customWidth="1"/>
    <col min="21" max="21" width="12.7109375" style="1955" customWidth="1"/>
    <col min="22" max="22" width="32" style="1921" customWidth="1"/>
    <col min="23" max="23" width="0.140625" style="1921" customWidth="1"/>
    <col min="24" max="28" width="21.7109375" style="1921" hidden="1" customWidth="1"/>
    <col min="29" max="29" width="11.7109375" style="1921" hidden="1" customWidth="1"/>
    <col min="30" max="30" width="3.7109375" style="1921" hidden="1" customWidth="1"/>
    <col min="31" max="31" width="11.7109375" style="1921" hidden="1" customWidth="1"/>
    <col min="32" max="32" width="8.5703125" style="1921" hidden="1" customWidth="1"/>
    <col min="33" max="37" width="21.7109375" style="1921" customWidth="1"/>
    <col min="38" max="38" width="11.7109375" style="1921" customWidth="1"/>
    <col min="39" max="39" width="3.7109375" style="1921" customWidth="1"/>
    <col min="40" max="40" width="11.7109375" style="1921" customWidth="1"/>
    <col min="41" max="41" width="8.5703125" style="1921" customWidth="1"/>
    <col min="42" max="42" width="4.7109375" style="1921" customWidth="1"/>
    <col min="43" max="43" width="115.7109375" style="1921" customWidth="1"/>
    <col min="44" max="45" width="10.5703125" style="1821"/>
    <col min="46" max="46" width="11.140625" style="1821" customWidth="1"/>
    <col min="47" max="48" width="10.5703125" style="1821"/>
  </cols>
  <sheetData>
    <row r="1" spans="1:48" ht="14.25" hidden="1" customHeight="1">
      <c r="AB1" s="254"/>
      <c r="AC1" s="254"/>
      <c r="AK1" s="254"/>
      <c r="AL1" s="254"/>
    </row>
    <row r="2" spans="1:48" ht="21" hidden="1" customHeight="1">
      <c r="A2" s="1187"/>
      <c r="B2" s="1187"/>
      <c r="C2" s="1187"/>
      <c r="D2" s="1187"/>
      <c r="E2" s="4789">
        <v>1</v>
      </c>
      <c r="F2" s="1187"/>
      <c r="G2" s="1187"/>
      <c r="H2" s="1187"/>
      <c r="I2" s="1187"/>
      <c r="J2" s="1187"/>
      <c r="K2" s="1187"/>
      <c r="L2" s="1187"/>
      <c r="M2" s="1229"/>
      <c r="N2" s="609"/>
      <c r="O2" s="609"/>
      <c r="P2" s="609"/>
      <c r="Q2" s="287"/>
      <c r="R2" s="286"/>
      <c r="S2" s="286"/>
      <c r="T2" s="281"/>
      <c r="U2" s="1254" t="e">
        <f>INDEX(PT_DIFFERENTIATION_NUM_NTAR,MATCH(A2,PT_DIFFERENTIATION_NTAR_ID,0))</f>
        <v>#N/A</v>
      </c>
      <c r="V2" s="217" t="s">
        <v>185</v>
      </c>
      <c r="W2" s="219"/>
      <c r="X2" s="4745"/>
      <c r="Y2" s="4746"/>
      <c r="Z2" s="4746"/>
      <c r="AA2" s="4746"/>
      <c r="AB2" s="4746"/>
      <c r="AC2" s="4746"/>
      <c r="AD2" s="4746"/>
      <c r="AE2" s="4746"/>
      <c r="AF2" s="4747"/>
      <c r="AG2" s="4745" t="e">
        <f>INDEX(PT_DIFFERENTIATION_NTAR,MATCH(A2,PT_DIFFERENTIATION_NTAR_ID,0))</f>
        <v>#N/A</v>
      </c>
      <c r="AH2" s="4746"/>
      <c r="AI2" s="4746"/>
      <c r="AJ2" s="4746"/>
      <c r="AK2" s="4746"/>
      <c r="AL2" s="4746"/>
      <c r="AM2" s="4746"/>
      <c r="AN2" s="4746"/>
      <c r="AO2" s="4746"/>
      <c r="AP2" s="4747"/>
      <c r="AQ2" s="1178" t="s">
        <v>537</v>
      </c>
      <c r="AS2" s="427"/>
      <c r="AT2" s="427" t="str">
        <f t="shared" ref="AT2:AT8" si="0">IF(V2="","",V2)</f>
        <v>Наименование тарифа</v>
      </c>
      <c r="AU2" s="427"/>
      <c r="AV2" s="427"/>
    </row>
    <row r="3" spans="1:48" ht="21" hidden="1" customHeight="1">
      <c r="A3" s="1187"/>
      <c r="B3" s="1187"/>
      <c r="C3" s="1187"/>
      <c r="D3" s="1187"/>
      <c r="E3" s="4790"/>
      <c r="F3" s="4789">
        <v>1</v>
      </c>
      <c r="G3" s="1187"/>
      <c r="H3" s="1187"/>
      <c r="I3" s="1187"/>
      <c r="J3" s="1187"/>
      <c r="K3" s="1187"/>
      <c r="L3" s="1187"/>
      <c r="M3" s="1229"/>
      <c r="N3" s="609"/>
      <c r="O3" s="609"/>
      <c r="P3" s="609"/>
      <c r="Q3" s="1250"/>
      <c r="R3" s="278"/>
      <c r="S3" s="436"/>
      <c r="T3" s="279"/>
      <c r="U3" s="1254" t="e">
        <f>INDEX(PT_DIFFERENTIATION_NUM_TER,MATCH(B3,PT_DIFFERENTIATION_TER_ID,0))</f>
        <v>#N/A</v>
      </c>
      <c r="V3" s="229" t="s">
        <v>538</v>
      </c>
      <c r="W3" s="219"/>
      <c r="X3" s="4745"/>
      <c r="Y3" s="4746"/>
      <c r="Z3" s="4746"/>
      <c r="AA3" s="4746"/>
      <c r="AB3" s="4746"/>
      <c r="AC3" s="4746"/>
      <c r="AD3" s="4746"/>
      <c r="AE3" s="4746"/>
      <c r="AF3" s="4747"/>
      <c r="AG3" s="4745" t="e">
        <f>INDEX(PT_DIFFERENTIATION_TER,MATCH(B3,PT_DIFFERENTIATION_TER_ID,0))</f>
        <v>#N/A</v>
      </c>
      <c r="AH3" s="4746"/>
      <c r="AI3" s="4746"/>
      <c r="AJ3" s="4746"/>
      <c r="AK3" s="4746"/>
      <c r="AL3" s="4746"/>
      <c r="AM3" s="4746"/>
      <c r="AN3" s="4746"/>
      <c r="AO3" s="4746"/>
      <c r="AP3" s="4747"/>
      <c r="AQ3" s="1178" t="s">
        <v>539</v>
      </c>
      <c r="AS3" s="427"/>
      <c r="AT3" s="427" t="str">
        <f t="shared" si="0"/>
        <v>Территория действия тарифа</v>
      </c>
      <c r="AU3" s="427"/>
      <c r="AV3" s="427"/>
    </row>
    <row r="4" spans="1:48" ht="22.5" hidden="1" customHeight="1">
      <c r="A4" s="1187"/>
      <c r="B4" s="1187"/>
      <c r="C4" s="1187"/>
      <c r="D4" s="1187"/>
      <c r="E4" s="4790"/>
      <c r="F4" s="4790"/>
      <c r="G4" s="4789">
        <v>1</v>
      </c>
      <c r="H4" s="1187"/>
      <c r="I4" s="1187"/>
      <c r="J4" s="1187"/>
      <c r="K4" s="1187"/>
      <c r="L4" s="1187"/>
      <c r="M4" s="1229"/>
      <c r="N4" s="609"/>
      <c r="O4" s="609"/>
      <c r="P4" s="609"/>
      <c r="Q4" s="280"/>
      <c r="R4" s="278"/>
      <c r="S4" s="436"/>
      <c r="T4" s="279"/>
      <c r="U4" s="1254" t="e">
        <f>INDEX(PT_DIFFERENTIATION_NUM_CS,MATCH(C4,PT_DIFFERENTIATION_CS_ID,0))</f>
        <v>#N/A</v>
      </c>
      <c r="V4" s="230" t="s">
        <v>540</v>
      </c>
      <c r="W4" s="219"/>
      <c r="X4" s="4745"/>
      <c r="Y4" s="4746"/>
      <c r="Z4" s="4746"/>
      <c r="AA4" s="4746"/>
      <c r="AB4" s="4746"/>
      <c r="AC4" s="4746"/>
      <c r="AD4" s="4746"/>
      <c r="AE4" s="4746"/>
      <c r="AF4" s="4747"/>
      <c r="AG4" s="4745" t="e">
        <f>INDEX(PT_DIFFERENTIATION_CS,MATCH(C4,PT_DIFFERENTIATION_CS_ID,0))</f>
        <v>#N/A</v>
      </c>
      <c r="AH4" s="4746"/>
      <c r="AI4" s="4746"/>
      <c r="AJ4" s="4746"/>
      <c r="AK4" s="4746"/>
      <c r="AL4" s="4746"/>
      <c r="AM4" s="4746"/>
      <c r="AN4" s="4746"/>
      <c r="AO4" s="4746"/>
      <c r="AP4" s="4747"/>
      <c r="AQ4" s="1178" t="s">
        <v>541</v>
      </c>
      <c r="AS4" s="427"/>
      <c r="AT4" s="427" t="str">
        <f t="shared" si="0"/>
        <v xml:space="preserve">Наименование системы теплоснабжения </v>
      </c>
      <c r="AU4" s="427"/>
      <c r="AV4" s="427"/>
    </row>
    <row r="5" spans="1:48" ht="21" hidden="1" customHeight="1">
      <c r="A5" s="1187"/>
      <c r="B5" s="1187"/>
      <c r="C5" s="1187"/>
      <c r="D5" s="1187"/>
      <c r="E5" s="4790"/>
      <c r="F5" s="4790"/>
      <c r="G5" s="4790"/>
      <c r="H5" s="4789">
        <v>1</v>
      </c>
      <c r="I5" s="1187"/>
      <c r="J5" s="1187"/>
      <c r="K5" s="1187"/>
      <c r="L5" s="1187"/>
      <c r="M5" s="1229"/>
      <c r="N5" s="609"/>
      <c r="O5" s="609"/>
      <c r="P5" s="609"/>
      <c r="Q5" s="280"/>
      <c r="R5" s="278"/>
      <c r="S5" s="436"/>
      <c r="T5" s="279"/>
      <c r="U5" s="1254" t="e">
        <f>INDEX(PT_DIFFERENTIATION_NUM_IST_TE,MATCH(D5,PT_DIFFERENTIATION_IST_TE_ID,0))</f>
        <v>#N/A</v>
      </c>
      <c r="V5" s="231" t="s">
        <v>542</v>
      </c>
      <c r="W5" s="219"/>
      <c r="X5" s="4745"/>
      <c r="Y5" s="4746"/>
      <c r="Z5" s="4746"/>
      <c r="AA5" s="4746"/>
      <c r="AB5" s="4746"/>
      <c r="AC5" s="4746"/>
      <c r="AD5" s="4746"/>
      <c r="AE5" s="4746"/>
      <c r="AF5" s="4747"/>
      <c r="AG5" s="4745" t="e">
        <f>INDEX(PT_DIFFERENTIATION_IST_TE,MATCH(D5,PT_DIFFERENTIATION_IST_TE_ID,0))</f>
        <v>#N/A</v>
      </c>
      <c r="AH5" s="4746"/>
      <c r="AI5" s="4746"/>
      <c r="AJ5" s="4746"/>
      <c r="AK5" s="4746"/>
      <c r="AL5" s="4746"/>
      <c r="AM5" s="4746"/>
      <c r="AN5" s="4746"/>
      <c r="AO5" s="4746"/>
      <c r="AP5" s="4747"/>
      <c r="AQ5" s="1178" t="s">
        <v>543</v>
      </c>
      <c r="AS5" s="427"/>
      <c r="AT5" s="427" t="str">
        <f t="shared" si="0"/>
        <v xml:space="preserve">Источник тепловой энергии  </v>
      </c>
      <c r="AU5" s="427"/>
      <c r="AV5" s="427"/>
    </row>
    <row r="6" spans="1:48" ht="14.25" hidden="1" customHeight="1">
      <c r="A6" s="1187"/>
      <c r="B6" s="1187"/>
      <c r="C6" s="1187"/>
      <c r="D6" s="1187"/>
      <c r="E6" s="4790"/>
      <c r="F6" s="4790"/>
      <c r="G6" s="4790"/>
      <c r="H6" s="4790"/>
      <c r="I6" s="4627" t="e">
        <f>U5&amp;".1"</f>
        <v>#N/A</v>
      </c>
      <c r="J6" s="1187"/>
      <c r="K6" s="1187"/>
      <c r="L6" s="1187"/>
      <c r="M6" s="1229" t="s">
        <v>544</v>
      </c>
      <c r="N6" s="436"/>
      <c r="Q6" s="4758">
        <v>1</v>
      </c>
      <c r="R6" s="1249"/>
      <c r="S6" s="1249"/>
      <c r="T6" s="282"/>
      <c r="U6" s="950"/>
      <c r="V6" s="1300"/>
      <c r="W6" s="1301"/>
      <c r="X6" s="4786"/>
      <c r="Y6" s="4787"/>
      <c r="Z6" s="4787"/>
      <c r="AA6" s="4787"/>
      <c r="AB6" s="4787"/>
      <c r="AC6" s="4787"/>
      <c r="AD6" s="4787"/>
      <c r="AE6" s="4787"/>
      <c r="AF6" s="4788"/>
      <c r="AG6" s="4786"/>
      <c r="AH6" s="4787"/>
      <c r="AI6" s="4787"/>
      <c r="AJ6" s="4787"/>
      <c r="AK6" s="4787"/>
      <c r="AL6" s="4787"/>
      <c r="AM6" s="4787"/>
      <c r="AN6" s="4787"/>
      <c r="AO6" s="4787"/>
      <c r="AP6" s="4788"/>
      <c r="AQ6" s="1302"/>
      <c r="AS6" s="427"/>
      <c r="AT6" s="427" t="str">
        <f t="shared" si="0"/>
        <v/>
      </c>
      <c r="AU6" s="427"/>
      <c r="AV6" s="427"/>
    </row>
    <row r="7" spans="1:48" ht="21" hidden="1" customHeight="1">
      <c r="A7" s="1187"/>
      <c r="B7" s="1187"/>
      <c r="C7" s="1187"/>
      <c r="D7" s="1187"/>
      <c r="E7" s="4790"/>
      <c r="F7" s="4790"/>
      <c r="G7" s="4790"/>
      <c r="H7" s="4790"/>
      <c r="I7" s="4598"/>
      <c r="J7" s="4627" t="e">
        <f>I6&amp;".1"</f>
        <v>#N/A</v>
      </c>
      <c r="K7" s="1187"/>
      <c r="L7" s="1187"/>
      <c r="M7" s="1229" t="s">
        <v>547</v>
      </c>
      <c r="N7" s="436"/>
      <c r="O7" s="254"/>
      <c r="Q7" s="4758"/>
      <c r="R7" s="4758">
        <v>1</v>
      </c>
      <c r="S7" s="445"/>
      <c r="T7" s="283"/>
      <c r="U7" s="1254" t="e">
        <f>$J7</f>
        <v>#N/A</v>
      </c>
      <c r="V7" s="205" t="s">
        <v>548</v>
      </c>
      <c r="W7" s="219"/>
      <c r="X7" s="4748"/>
      <c r="Y7" s="4749"/>
      <c r="Z7" s="4749"/>
      <c r="AA7" s="4749"/>
      <c r="AB7" s="4749"/>
      <c r="AC7" s="4741"/>
      <c r="AD7" s="4741"/>
      <c r="AE7" s="4741"/>
      <c r="AF7" s="4791"/>
      <c r="AG7" s="4748"/>
      <c r="AH7" s="4749"/>
      <c r="AI7" s="4749"/>
      <c r="AJ7" s="4749"/>
      <c r="AK7" s="4749"/>
      <c r="AL7" s="4749"/>
      <c r="AM7" s="4749"/>
      <c r="AN7" s="4749"/>
      <c r="AO7" s="4749"/>
      <c r="AP7" s="4750"/>
      <c r="AQ7" s="1178" t="s">
        <v>549</v>
      </c>
      <c r="AS7" s="427"/>
      <c r="AT7" s="427" t="str">
        <f t="shared" si="0"/>
        <v>Группа потребителей</v>
      </c>
      <c r="AU7" s="427"/>
      <c r="AV7" s="427"/>
    </row>
    <row r="8" spans="1:48" ht="21" hidden="1" customHeight="1">
      <c r="A8" s="1187"/>
      <c r="B8" s="1187"/>
      <c r="C8" s="1187"/>
      <c r="D8" s="1187"/>
      <c r="E8" s="4790"/>
      <c r="F8" s="4790"/>
      <c r="G8" s="4790"/>
      <c r="H8" s="4790"/>
      <c r="I8" s="4598"/>
      <c r="J8" s="4598"/>
      <c r="K8" s="4627" t="e">
        <f>J7&amp;".1"</f>
        <v>#N/A</v>
      </c>
      <c r="L8" s="65"/>
      <c r="M8" s="1229" t="s">
        <v>550</v>
      </c>
      <c r="N8" s="436"/>
      <c r="O8" s="254"/>
      <c r="P8" s="254"/>
      <c r="Q8" s="4758"/>
      <c r="R8" s="4758"/>
      <c r="S8" s="4758">
        <v>1</v>
      </c>
      <c r="T8" s="283"/>
      <c r="U8" s="1254" t="e">
        <f>$K8</f>
        <v>#N/A</v>
      </c>
      <c r="V8" s="1265"/>
      <c r="W8" s="219"/>
      <c r="X8" s="669"/>
      <c r="Y8" s="669"/>
      <c r="Z8" s="669"/>
      <c r="AA8" s="669"/>
      <c r="AB8" s="1322"/>
      <c r="AC8" s="4762"/>
      <c r="AD8" s="4608" t="s">
        <v>65</v>
      </c>
      <c r="AE8" s="4762"/>
      <c r="AF8" s="4608" t="s">
        <v>65</v>
      </c>
      <c r="AG8" s="1324"/>
      <c r="AH8" s="669"/>
      <c r="AI8" s="669"/>
      <c r="AJ8" s="669"/>
      <c r="AK8" s="1177"/>
      <c r="AL8" s="4762"/>
      <c r="AM8" s="4608" t="s">
        <v>65</v>
      </c>
      <c r="AN8" s="4762"/>
      <c r="AO8" s="4608" t="s">
        <v>65</v>
      </c>
      <c r="AP8" s="251"/>
      <c r="AQ8" s="1227" t="s">
        <v>589</v>
      </c>
      <c r="AR8" s="438" t="e">
        <f ca="1">STRCHECKDATE(X10:AP10)</f>
        <v>#NAME?</v>
      </c>
      <c r="AS8" s="427"/>
      <c r="AT8" s="427" t="str">
        <f t="shared" si="0"/>
        <v/>
      </c>
      <c r="AU8" s="427"/>
      <c r="AV8" s="427"/>
    </row>
    <row r="9" spans="1:48" ht="21" hidden="1" customHeight="1">
      <c r="A9" s="1187"/>
      <c r="B9" s="1187"/>
      <c r="C9" s="1187"/>
      <c r="D9" s="1187"/>
      <c r="E9" s="4790"/>
      <c r="F9" s="4790"/>
      <c r="G9" s="4790"/>
      <c r="H9" s="4790"/>
      <c r="I9" s="4598"/>
      <c r="J9" s="4598"/>
      <c r="K9" s="4598"/>
      <c r="L9" s="4627" t="e">
        <f>K8&amp;".1"</f>
        <v>#N/A</v>
      </c>
      <c r="M9" s="1229"/>
      <c r="N9" s="436"/>
      <c r="O9" s="254"/>
      <c r="P9" s="254"/>
      <c r="Q9" s="4758"/>
      <c r="R9" s="4758"/>
      <c r="S9" s="4758"/>
      <c r="T9" s="283"/>
      <c r="U9" s="1254" t="e">
        <f>$L9</f>
        <v>#N/A</v>
      </c>
      <c r="V9" s="1308"/>
      <c r="W9" s="219"/>
      <c r="X9" s="251"/>
      <c r="Y9" s="669"/>
      <c r="Z9" s="669"/>
      <c r="AA9" s="669"/>
      <c r="AB9" s="1322"/>
      <c r="AC9" s="4763"/>
      <c r="AD9" s="4608"/>
      <c r="AE9" s="4763"/>
      <c r="AF9" s="4608"/>
      <c r="AG9" s="1324"/>
      <c r="AH9" s="669"/>
      <c r="AI9" s="669"/>
      <c r="AJ9" s="669"/>
      <c r="AK9" s="1177"/>
      <c r="AL9" s="4763"/>
      <c r="AM9" s="4608"/>
      <c r="AN9" s="4763"/>
      <c r="AO9" s="4608"/>
      <c r="AP9" s="251"/>
      <c r="AQ9" s="4754" t="s">
        <v>590</v>
      </c>
      <c r="AS9" s="427"/>
      <c r="AT9" s="427"/>
      <c r="AU9" s="427"/>
      <c r="AV9" s="427"/>
    </row>
    <row r="10" spans="1:48" ht="14.25" hidden="1" customHeight="1">
      <c r="A10" s="1187"/>
      <c r="B10" s="1187"/>
      <c r="C10" s="1187"/>
      <c r="D10" s="1187"/>
      <c r="E10" s="4790"/>
      <c r="F10" s="4790"/>
      <c r="G10" s="4790"/>
      <c r="H10" s="4790"/>
      <c r="I10" s="4598"/>
      <c r="J10" s="4598"/>
      <c r="K10" s="4598"/>
      <c r="L10" s="4627"/>
      <c r="M10" s="1229"/>
      <c r="N10" s="436"/>
      <c r="O10" s="254"/>
      <c r="P10" s="254"/>
      <c r="Q10" s="4758"/>
      <c r="R10" s="4758"/>
      <c r="S10" s="4758"/>
      <c r="T10" s="283"/>
      <c r="U10" s="1260"/>
      <c r="V10" s="219"/>
      <c r="W10" s="219"/>
      <c r="X10" s="251"/>
      <c r="Y10" s="251"/>
      <c r="Z10" s="251"/>
      <c r="AA10" s="251"/>
      <c r="AB10" s="1323" t="str">
        <f>AC8&amp;"-"&amp;AE8</f>
        <v>-</v>
      </c>
      <c r="AC10" s="4763"/>
      <c r="AD10" s="4608"/>
      <c r="AE10" s="4763"/>
      <c r="AF10" s="4608"/>
      <c r="AG10" s="1299"/>
      <c r="AH10" s="251"/>
      <c r="AI10" s="251"/>
      <c r="AJ10" s="251"/>
      <c r="AK10" s="255" t="str">
        <f>AL8&amp;"-"&amp;AN8</f>
        <v>-</v>
      </c>
      <c r="AL10" s="4763"/>
      <c r="AM10" s="4608"/>
      <c r="AN10" s="4763"/>
      <c r="AO10" s="4608"/>
      <c r="AP10" s="251"/>
      <c r="AQ10" s="4755"/>
      <c r="AS10" s="427"/>
      <c r="AT10" s="427" t="str">
        <f>IF(V10="","",V10)</f>
        <v/>
      </c>
      <c r="AU10" s="427"/>
      <c r="AV10" s="427"/>
    </row>
    <row r="11" spans="1:48" ht="11.25" hidden="1" customHeight="1">
      <c r="A11" s="1187"/>
      <c r="B11" s="1187"/>
      <c r="C11" s="1187"/>
      <c r="D11" s="1187"/>
      <c r="E11" s="4790"/>
      <c r="F11" s="4790"/>
      <c r="G11" s="4790"/>
      <c r="H11" s="4790"/>
      <c r="I11" s="4598"/>
      <c r="J11" s="4598"/>
      <c r="K11" s="4627"/>
      <c r="L11" s="1187"/>
      <c r="M11" s="1229"/>
      <c r="N11" s="436"/>
      <c r="O11" s="254"/>
      <c r="P11" s="254"/>
      <c r="Q11" s="4758"/>
      <c r="R11" s="4758"/>
      <c r="S11" s="4758"/>
      <c r="T11" s="283"/>
      <c r="U11" s="1199"/>
      <c r="V11" s="207" t="s">
        <v>591</v>
      </c>
      <c r="W11" s="1309"/>
      <c r="X11" s="1310"/>
      <c r="Y11" s="1310"/>
      <c r="Z11" s="1310"/>
      <c r="AA11" s="1310"/>
      <c r="AB11" s="1311"/>
      <c r="AC11" s="4763"/>
      <c r="AD11" s="4608"/>
      <c r="AE11" s="4763"/>
      <c r="AF11" s="4608"/>
      <c r="AG11" s="1310"/>
      <c r="AH11" s="1310"/>
      <c r="AI11" s="1310"/>
      <c r="AJ11" s="1310"/>
      <c r="AK11" s="1311"/>
      <c r="AL11" s="4763"/>
      <c r="AM11" s="4608"/>
      <c r="AN11" s="4763"/>
      <c r="AO11" s="4608"/>
      <c r="AP11" s="1312"/>
      <c r="AQ11" s="4755"/>
      <c r="AS11" s="427"/>
      <c r="AT11" s="427"/>
      <c r="AU11" s="427"/>
      <c r="AV11" s="427"/>
    </row>
    <row r="12" spans="1:48" ht="15" hidden="1" customHeight="1">
      <c r="A12" s="1187"/>
      <c r="B12" s="1187"/>
      <c r="C12" s="1187"/>
      <c r="D12" s="1187"/>
      <c r="E12" s="4790"/>
      <c r="F12" s="4790"/>
      <c r="G12" s="4790"/>
      <c r="H12" s="4790"/>
      <c r="I12" s="4598"/>
      <c r="J12" s="4627"/>
      <c r="K12" s="1187"/>
      <c r="L12" s="1187"/>
      <c r="M12" s="1229"/>
      <c r="N12" s="436"/>
      <c r="O12" s="254"/>
      <c r="Q12" s="4758"/>
      <c r="R12" s="4758"/>
      <c r="S12" s="1249"/>
      <c r="T12" s="282"/>
      <c r="U12" s="1199"/>
      <c r="V12" s="206" t="s">
        <v>552</v>
      </c>
      <c r="W12" s="296"/>
      <c r="X12" s="296"/>
      <c r="Y12" s="296"/>
      <c r="Z12" s="296"/>
      <c r="AA12" s="296"/>
      <c r="AB12" s="296"/>
      <c r="AC12" s="1325"/>
      <c r="AD12" s="1325"/>
      <c r="AE12" s="1325"/>
      <c r="AF12" s="1325"/>
      <c r="AG12" s="296"/>
      <c r="AH12" s="296"/>
      <c r="AI12" s="296"/>
      <c r="AJ12" s="296"/>
      <c r="AK12" s="296"/>
      <c r="AL12" s="296"/>
      <c r="AM12" s="296"/>
      <c r="AN12" s="296"/>
      <c r="AO12" s="296"/>
      <c r="AP12" s="250"/>
      <c r="AQ12" s="4756"/>
      <c r="AS12" s="427"/>
      <c r="AT12" s="427" t="str">
        <f t="shared" ref="AT12:AT17" si="1">IF(V12="","",V12)</f>
        <v>Добавить вид теплоносителя (параметры теплоносителя)</v>
      </c>
      <c r="AU12" s="427"/>
      <c r="AV12" s="427"/>
    </row>
    <row r="13" spans="1:48" ht="11.25" hidden="1" customHeight="1">
      <c r="A13" s="1187"/>
      <c r="B13" s="1187"/>
      <c r="C13" s="1187"/>
      <c r="D13" s="1187"/>
      <c r="E13" s="4790"/>
      <c r="F13" s="4790"/>
      <c r="G13" s="4790"/>
      <c r="H13" s="4790"/>
      <c r="I13" s="4627"/>
      <c r="J13" s="1187"/>
      <c r="K13" s="1187"/>
      <c r="L13" s="1187"/>
      <c r="M13" s="1229"/>
      <c r="N13" s="436"/>
      <c r="Q13" s="4758"/>
      <c r="R13" s="1249"/>
      <c r="S13" s="1249"/>
      <c r="T13" s="282"/>
      <c r="U13" s="1199"/>
      <c r="V13" s="293" t="s">
        <v>553</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7"/>
      <c r="B14" s="1187"/>
      <c r="C14" s="1187"/>
      <c r="D14" s="1187"/>
      <c r="E14" s="4790"/>
      <c r="F14" s="4790"/>
      <c r="G14" s="4790"/>
      <c r="H14" s="4789"/>
      <c r="I14" s="1187"/>
      <c r="J14" s="1187"/>
      <c r="K14" s="1187"/>
      <c r="L14" s="1187"/>
      <c r="M14" s="1229"/>
      <c r="N14" s="609"/>
      <c r="O14" s="609"/>
      <c r="P14" s="436"/>
      <c r="Q14" s="286"/>
      <c r="R14" s="305"/>
      <c r="S14" s="281"/>
      <c r="T14" s="28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27"/>
      <c r="AT14" s="427" t="str">
        <f t="shared" si="1"/>
        <v/>
      </c>
      <c r="AU14" s="427"/>
      <c r="AV14" s="427"/>
    </row>
    <row r="15" spans="1:48" s="1946" customFormat="1" ht="14.25" hidden="1" customHeight="1">
      <c r="A15" s="1291"/>
      <c r="B15" s="1291"/>
      <c r="C15" s="1291"/>
      <c r="D15" s="1291"/>
      <c r="E15" s="4790"/>
      <c r="F15" s="4790"/>
      <c r="G15" s="4789"/>
      <c r="H15" s="1291"/>
      <c r="I15" s="1291"/>
      <c r="J15" s="1291"/>
      <c r="K15" s="1291"/>
      <c r="L15" s="1291"/>
      <c r="M15" s="1294"/>
      <c r="N15" s="1295"/>
      <c r="O15" s="1295"/>
      <c r="P15" s="277"/>
      <c r="Q15" s="1235"/>
      <c r="R15" s="1236"/>
      <c r="S15" s="1235"/>
      <c r="T15" s="1235"/>
      <c r="U15" s="1237"/>
      <c r="V15" s="1238" t="s">
        <v>555</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07"/>
      <c r="AT15" s="707" t="str">
        <f t="shared" si="1"/>
        <v>Добавить источник для дифференциации</v>
      </c>
      <c r="AU15" s="707"/>
      <c r="AV15" s="707"/>
    </row>
    <row r="16" spans="1:48" s="1946" customFormat="1" ht="14.25" hidden="1" customHeight="1">
      <c r="A16" s="1291"/>
      <c r="B16" s="1291"/>
      <c r="C16" s="1291"/>
      <c r="D16" s="1291"/>
      <c r="E16" s="4790"/>
      <c r="F16" s="4789"/>
      <c r="G16" s="1291"/>
      <c r="H16" s="1291"/>
      <c r="I16" s="1291"/>
      <c r="J16" s="1291"/>
      <c r="K16" s="1291"/>
      <c r="L16" s="1291"/>
      <c r="M16" s="1294"/>
      <c r="N16" s="1296"/>
      <c r="O16" s="1296"/>
      <c r="P16" s="277"/>
      <c r="Q16" s="1235"/>
      <c r="R16" s="1236"/>
      <c r="S16" s="1235"/>
      <c r="T16" s="1235"/>
      <c r="U16" s="1241"/>
      <c r="V16" s="1242" t="s">
        <v>316</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07"/>
      <c r="AT16" s="707" t="str">
        <f t="shared" si="1"/>
        <v>Добавить централизованную систему для дифференциации</v>
      </c>
      <c r="AU16" s="707"/>
      <c r="AV16" s="707"/>
    </row>
    <row r="17" spans="1:48" s="1946" customFormat="1" ht="14.25" hidden="1" customHeight="1">
      <c r="A17" s="1291"/>
      <c r="B17" s="1291"/>
      <c r="C17" s="1291"/>
      <c r="D17" s="1291"/>
      <c r="E17" s="4789"/>
      <c r="F17" s="1291"/>
      <c r="G17" s="1291"/>
      <c r="H17" s="1291"/>
      <c r="I17" s="1291"/>
      <c r="J17" s="1291"/>
      <c r="K17" s="1291"/>
      <c r="L17" s="1291"/>
      <c r="M17" s="1294"/>
      <c r="N17" s="1296"/>
      <c r="O17" s="1296"/>
      <c r="P17" s="277"/>
      <c r="Q17" s="1235"/>
      <c r="R17" s="1236"/>
      <c r="S17" s="1235"/>
      <c r="T17" s="1235"/>
      <c r="U17" s="1241"/>
      <c r="V17" s="1244" t="s">
        <v>317</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07"/>
      <c r="AT17" s="707" t="str">
        <f t="shared" si="1"/>
        <v>Добавить территорию для дифференциации</v>
      </c>
      <c r="AU17" s="707"/>
      <c r="AV17" s="707"/>
    </row>
    <row r="18" spans="1:48" ht="14.25" hidden="1" customHeight="1">
      <c r="AF18" s="254"/>
      <c r="AO18" s="254"/>
    </row>
    <row r="19" spans="1:48" ht="14.25" hidden="1" customHeight="1">
      <c r="AG19" s="1277"/>
      <c r="AH19" s="1277"/>
      <c r="AI19" s="1277"/>
      <c r="AJ19" s="1277"/>
      <c r="AK19" s="1278"/>
      <c r="AL19" s="4764"/>
      <c r="AM19" s="4765" t="s">
        <v>65</v>
      </c>
      <c r="AN19" s="4764"/>
      <c r="AO19" s="4765" t="s">
        <v>65</v>
      </c>
    </row>
    <row r="20" spans="1:48" ht="14.25" hidden="1" customHeight="1">
      <c r="AG20" s="1277"/>
      <c r="AH20" s="1277"/>
      <c r="AI20" s="1277"/>
      <c r="AJ20" s="1277"/>
      <c r="AK20" s="1278"/>
      <c r="AL20" s="4764"/>
      <c r="AM20" s="4765"/>
      <c r="AN20" s="4764"/>
      <c r="AO20" s="4765"/>
    </row>
    <row r="21" spans="1:48" ht="14.25" hidden="1" customHeight="1">
      <c r="AG21" s="1277"/>
      <c r="AH21" s="1277"/>
      <c r="AI21" s="1277"/>
      <c r="AJ21" s="1277"/>
      <c r="AK21" s="1278"/>
      <c r="AL21" s="4764"/>
      <c r="AM21" s="4765"/>
      <c r="AN21" s="4764"/>
      <c r="AO21" s="4765"/>
    </row>
    <row r="22" spans="1:48" ht="14.25" hidden="1" customHeight="1">
      <c r="AG22" s="1277"/>
      <c r="AH22" s="1277"/>
      <c r="AI22" s="1277"/>
      <c r="AJ22" s="1277"/>
      <c r="AK22" s="255" t="str">
        <f>AL19&amp;"-"&amp;AN19</f>
        <v>-</v>
      </c>
      <c r="AL22" s="4765"/>
      <c r="AM22" s="4765"/>
      <c r="AN22" s="4765"/>
      <c r="AO22" s="4765"/>
    </row>
    <row r="23" spans="1:48" ht="14.25" hidden="1" customHeight="1">
      <c r="AO23" s="254"/>
    </row>
    <row r="24" spans="1:48" s="1835" customFormat="1" ht="22.5" hidden="1" customHeight="1">
      <c r="A24" s="1056"/>
      <c r="B24" s="1056"/>
      <c r="C24" s="1056"/>
      <c r="D24" s="1056"/>
      <c r="E24" s="1056"/>
      <c r="F24" s="1056"/>
      <c r="G24" s="1056"/>
      <c r="H24" s="1056"/>
      <c r="I24" s="1056"/>
      <c r="J24" s="1056"/>
      <c r="K24" s="1056"/>
      <c r="L24" s="1056"/>
      <c r="M24" s="1245"/>
      <c r="N24" s="1246"/>
      <c r="O24" s="1246"/>
      <c r="P24" s="1263" t="s">
        <v>556</v>
      </c>
      <c r="Q24" s="1279"/>
      <c r="R24" s="1288"/>
      <c r="S24" s="1288"/>
      <c r="T24" s="1288"/>
      <c r="U24" s="649"/>
      <c r="AC24" s="1284"/>
      <c r="AE24" s="1284"/>
      <c r="AF24" s="1283"/>
      <c r="AL24" s="1284"/>
      <c r="AN24" s="1284"/>
      <c r="AO24" s="1283"/>
      <c r="AR24" s="438"/>
      <c r="AS24" s="438"/>
      <c r="AT24" s="438"/>
      <c r="AU24" s="438"/>
      <c r="AV24" s="438"/>
    </row>
    <row r="25" spans="1:48" s="1835" customFormat="1" ht="14.25" hidden="1" customHeight="1">
      <c r="A25" s="1056"/>
      <c r="B25" s="1056"/>
      <c r="C25" s="1056"/>
      <c r="D25" s="1056"/>
      <c r="E25" s="1056"/>
      <c r="F25" s="1056"/>
      <c r="G25" s="1056"/>
      <c r="H25" s="1056"/>
      <c r="I25" s="1056"/>
      <c r="J25" s="1056"/>
      <c r="K25" s="1056"/>
      <c r="L25" s="1056"/>
      <c r="M25" s="1245"/>
      <c r="N25" s="1246"/>
      <c r="O25" s="1246"/>
      <c r="P25" s="1246"/>
      <c r="Q25" s="1279"/>
      <c r="R25" s="1288"/>
      <c r="S25" s="1288"/>
      <c r="T25" s="1288"/>
      <c r="U25" s="649"/>
      <c r="AF25" s="1283"/>
      <c r="AO25" s="1283"/>
      <c r="AR25" s="438"/>
      <c r="AS25" s="438"/>
      <c r="AT25" s="438"/>
      <c r="AU25" s="438"/>
      <c r="AV25" s="438"/>
    </row>
    <row r="26" spans="1:48" s="1835" customFormat="1" ht="14.25" hidden="1" customHeight="1">
      <c r="A26" s="1056"/>
      <c r="B26" s="1056"/>
      <c r="C26" s="1056"/>
      <c r="D26" s="1056"/>
      <c r="E26" s="1056"/>
      <c r="F26" s="1056"/>
      <c r="G26" s="1056"/>
      <c r="H26" s="1056"/>
      <c r="I26" s="1056"/>
      <c r="J26" s="1056"/>
      <c r="K26" s="1056"/>
      <c r="L26" s="1056"/>
      <c r="M26" s="1245"/>
      <c r="N26" s="1246"/>
      <c r="O26" s="1246"/>
      <c r="P26" s="1229" t="s">
        <v>557</v>
      </c>
      <c r="Q26" s="1279"/>
      <c r="R26" s="1288"/>
      <c r="S26" s="1288"/>
      <c r="T26" s="1288"/>
      <c r="U26" s="649"/>
      <c r="V26" s="1061" t="s">
        <v>558</v>
      </c>
      <c r="AD26" s="107" t="s">
        <v>559</v>
      </c>
      <c r="AF26" s="107" t="s">
        <v>560</v>
      </c>
      <c r="AG26" s="1061" t="s">
        <v>558</v>
      </c>
      <c r="AM26" s="107" t="s">
        <v>561</v>
      </c>
      <c r="AO26" s="107" t="s">
        <v>560</v>
      </c>
      <c r="AR26" s="438"/>
      <c r="AS26" s="438"/>
      <c r="AT26" s="438"/>
      <c r="AU26" s="438"/>
      <c r="AV26" s="438"/>
    </row>
    <row r="27" spans="1:48" ht="14.25" hidden="1" customHeight="1">
      <c r="P27" s="1229"/>
    </row>
    <row r="28" spans="1:48" ht="14.25" hidden="1" customHeight="1">
      <c r="P28" s="1229"/>
    </row>
    <row r="29" spans="1:48" ht="14.25" customHeight="1">
      <c r="R29" s="306"/>
      <c r="S29" s="306"/>
      <c r="T29" s="306"/>
      <c r="U29" s="1196"/>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474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743"/>
      <c r="W30" s="4743"/>
      <c r="X30" s="4743"/>
      <c r="Y30" s="4743"/>
      <c r="Z30" s="4743"/>
      <c r="AA30" s="4743"/>
      <c r="AB30" s="4743"/>
      <c r="AC30" s="4743"/>
      <c r="AD30" s="4743"/>
      <c r="AE30" s="4743"/>
      <c r="AF30" s="4743"/>
      <c r="AG30" s="4743"/>
      <c r="AH30" s="4743"/>
      <c r="AI30" s="4743"/>
      <c r="AJ30" s="4743"/>
      <c r="AK30" s="4743"/>
      <c r="AL30" s="4743"/>
      <c r="AM30" s="4743"/>
      <c r="AN30" s="4743"/>
      <c r="AO30" s="1153"/>
    </row>
    <row r="31" spans="1:48" ht="14.25" customHeight="1">
      <c r="R31" s="306"/>
      <c r="S31" s="306"/>
      <c r="T31" s="306"/>
      <c r="U31" s="4690" t="str">
        <f>IF(org=0,"Не определено",org)</f>
        <v>ОГКП "Ульяновский областной водоканал"</v>
      </c>
      <c r="V31" s="4690"/>
      <c r="W31" s="4690"/>
      <c r="X31" s="4690"/>
      <c r="Y31" s="4690"/>
      <c r="Z31" s="4690"/>
      <c r="AA31" s="4690"/>
      <c r="AB31" s="4690"/>
      <c r="AC31" s="4690"/>
      <c r="AD31" s="4690"/>
      <c r="AE31" s="4690"/>
      <c r="AF31" s="4690"/>
      <c r="AG31" s="4690"/>
      <c r="AH31" s="4690"/>
      <c r="AI31" s="4690"/>
      <c r="AJ31" s="4690"/>
      <c r="AK31" s="4690"/>
      <c r="AL31" s="4690"/>
      <c r="AM31" s="4690"/>
      <c r="AN31" s="4690"/>
      <c r="AO31" s="1153"/>
    </row>
    <row r="32" spans="1:48" ht="14.25" customHeight="1">
      <c r="R32" s="306"/>
      <c r="S32" s="306"/>
      <c r="T32" s="306"/>
      <c r="U32" s="1196"/>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951" customFormat="1" ht="25.5" customHeight="1">
      <c r="A33" s="1159"/>
      <c r="B33" s="1159"/>
      <c r="C33" s="1159"/>
      <c r="D33" s="1159"/>
      <c r="E33" s="1159"/>
      <c r="F33" s="1159"/>
      <c r="G33" s="1159"/>
      <c r="H33" s="1159"/>
      <c r="I33" s="1159"/>
      <c r="J33" s="1159"/>
      <c r="K33" s="1159"/>
      <c r="L33" s="1159"/>
      <c r="M33" s="1297"/>
      <c r="N33" s="1159"/>
      <c r="O33" s="1159"/>
      <c r="P33" s="1159"/>
      <c r="U33" s="4751" t="s">
        <v>38</v>
      </c>
      <c r="V33" s="4751"/>
      <c r="W33" s="1289"/>
      <c r="X33" s="4752" t="str">
        <f>IF(TITLE_NAME_OR_PR_CHANGE="",IF(TITLE_NAME_OR_PR="","",TITLE_NAME_OR_PR),TITLE_NAME_OR_PR_CHANGE)</f>
        <v>Агентство по регулированию цен и тарифов Ульяновской области</v>
      </c>
      <c r="Y33" s="4752"/>
      <c r="Z33" s="4752"/>
      <c r="AA33" s="4752"/>
      <c r="AB33" s="4752"/>
      <c r="AC33" s="4752"/>
      <c r="AD33" s="4752"/>
      <c r="AE33" s="4752"/>
      <c r="AF33" s="253"/>
      <c r="AG33" s="4752" t="str">
        <f>IF(TITLE_NAME_OR_PR_CHANGE="",IF(TITLE_NAME_OR_PR="","",TITLE_NAME_OR_PR),TITLE_NAME_OR_PR_CHANGE)</f>
        <v>Агентство по регулированию цен и тарифов Ульяновской области</v>
      </c>
      <c r="AH33" s="4752"/>
      <c r="AI33" s="4752"/>
      <c r="AJ33" s="4752"/>
      <c r="AK33" s="4752"/>
      <c r="AL33" s="4752"/>
      <c r="AM33" s="4752"/>
      <c r="AN33" s="4752"/>
      <c r="AO33" s="253"/>
      <c r="AP33" s="253"/>
      <c r="AQ33" s="200"/>
      <c r="AR33" s="297"/>
      <c r="AS33" s="297"/>
      <c r="AT33" s="297"/>
      <c r="AU33" s="297"/>
      <c r="AV33" s="297"/>
    </row>
    <row r="34" spans="1:48" s="1951" customFormat="1" ht="18.75" customHeight="1">
      <c r="A34" s="1159"/>
      <c r="B34" s="1159"/>
      <c r="C34" s="1159"/>
      <c r="D34" s="1159"/>
      <c r="E34" s="1159"/>
      <c r="F34" s="1159"/>
      <c r="G34" s="1159"/>
      <c r="H34" s="1159"/>
      <c r="I34" s="1159"/>
      <c r="J34" s="1159"/>
      <c r="K34" s="1159"/>
      <c r="L34" s="1159"/>
      <c r="M34" s="1297"/>
      <c r="N34" s="1159"/>
      <c r="O34" s="1159"/>
      <c r="P34" s="1159"/>
      <c r="U34" s="4751" t="s">
        <v>562</v>
      </c>
      <c r="V34" s="4751"/>
      <c r="W34" s="1289"/>
      <c r="X34" s="4761">
        <f>IF(TITLE_DATE_PR_CHANGE="",IF(TITLE_DATE_PR="","",TITLE_DATE_PR),TITLE_DATE_PR_CHANGE)</f>
        <v>45279.639965277776</v>
      </c>
      <c r="Y34" s="4761"/>
      <c r="Z34" s="4761"/>
      <c r="AA34" s="4761"/>
      <c r="AB34" s="4761"/>
      <c r="AC34" s="4761"/>
      <c r="AD34" s="4761"/>
      <c r="AE34" s="4761"/>
      <c r="AF34" s="253"/>
      <c r="AG34" s="4761">
        <f>IF(TITLE_DATE_PR_CHANGE="",IF(TITLE_DATE_PR="","",TITLE_DATE_PR),TITLE_DATE_PR_CHANGE)</f>
        <v>45279.639965277776</v>
      </c>
      <c r="AH34" s="4761"/>
      <c r="AI34" s="4761"/>
      <c r="AJ34" s="4761"/>
      <c r="AK34" s="4761"/>
      <c r="AL34" s="4761"/>
      <c r="AM34" s="4761"/>
      <c r="AN34" s="4761"/>
      <c r="AO34" s="253"/>
      <c r="AP34" s="253"/>
      <c r="AQ34" s="200"/>
      <c r="AR34" s="297"/>
      <c r="AS34" s="297"/>
      <c r="AT34" s="297"/>
      <c r="AU34" s="297"/>
      <c r="AV34" s="297"/>
    </row>
    <row r="35" spans="1:48" s="1951" customFormat="1" ht="18.75" customHeight="1">
      <c r="A35" s="1159"/>
      <c r="B35" s="1159"/>
      <c r="C35" s="1159"/>
      <c r="D35" s="1159"/>
      <c r="E35" s="1159"/>
      <c r="F35" s="1159"/>
      <c r="G35" s="1159"/>
      <c r="H35" s="1159"/>
      <c r="I35" s="1159"/>
      <c r="J35" s="1159"/>
      <c r="K35" s="1159"/>
      <c r="L35" s="1159"/>
      <c r="M35" s="1297"/>
      <c r="N35" s="1159"/>
      <c r="O35" s="1159"/>
      <c r="P35" s="1159"/>
      <c r="U35" s="4751" t="s">
        <v>563</v>
      </c>
      <c r="V35" s="4751"/>
      <c r="W35" s="1289"/>
      <c r="X35" s="4752" t="str">
        <f>IF(TITLE_NUMBER_PR_CHANGE="",IF(TITLE_NUMBER_PR="","",TITLE_NUMBER_PR),TITLE_NUMBER_PR_CHANGE)</f>
        <v>233-П</v>
      </c>
      <c r="Y35" s="4752"/>
      <c r="Z35" s="4752"/>
      <c r="AA35" s="4752"/>
      <c r="AB35" s="4752"/>
      <c r="AC35" s="4752"/>
      <c r="AD35" s="4752"/>
      <c r="AE35" s="4752"/>
      <c r="AF35" s="253"/>
      <c r="AG35" s="4752" t="str">
        <f>IF(TITLE_NUMBER_PR_CHANGE="",IF(TITLE_NUMBER_PR="","",TITLE_NUMBER_PR),TITLE_NUMBER_PR_CHANGE)</f>
        <v>233-П</v>
      </c>
      <c r="AH35" s="4752"/>
      <c r="AI35" s="4752"/>
      <c r="AJ35" s="4752"/>
      <c r="AK35" s="4752"/>
      <c r="AL35" s="4752"/>
      <c r="AM35" s="4752"/>
      <c r="AN35" s="4752"/>
      <c r="AO35" s="253"/>
      <c r="AP35" s="253"/>
      <c r="AQ35" s="200"/>
      <c r="AR35" s="297"/>
      <c r="AS35" s="297"/>
      <c r="AT35" s="297"/>
      <c r="AU35" s="297"/>
      <c r="AV35" s="297"/>
    </row>
    <row r="36" spans="1:48" s="1951" customFormat="1" ht="18.75" customHeight="1">
      <c r="A36" s="1159"/>
      <c r="B36" s="1159"/>
      <c r="C36" s="1159"/>
      <c r="D36" s="1159"/>
      <c r="E36" s="1159"/>
      <c r="F36" s="1159"/>
      <c r="G36" s="1159"/>
      <c r="H36" s="1159"/>
      <c r="I36" s="1159"/>
      <c r="J36" s="1159"/>
      <c r="K36" s="1159"/>
      <c r="L36" s="1159"/>
      <c r="M36" s="1297"/>
      <c r="N36" s="1159"/>
      <c r="O36" s="1159"/>
      <c r="P36" s="1159"/>
      <c r="U36" s="4751" t="s">
        <v>40</v>
      </c>
      <c r="V36" s="4751"/>
      <c r="W36" s="1289"/>
      <c r="X36" s="4752" t="str">
        <f>IF(TITLE_IST_PUB_CHANGE="",IF(TITLE_IST_PUB="","",TITLE_IST_PUB),TITLE_IST_PUB_CHANGE)</f>
        <v>сайт Агентства по регулированию цен и тарифов Ульяновской области</v>
      </c>
      <c r="Y36" s="4752"/>
      <c r="Z36" s="4752"/>
      <c r="AA36" s="4752"/>
      <c r="AB36" s="4752"/>
      <c r="AC36" s="4752"/>
      <c r="AD36" s="4752"/>
      <c r="AE36" s="4752"/>
      <c r="AF36" s="253"/>
      <c r="AG36" s="4752" t="str">
        <f>IF(TITLE_IST_PUB_CHANGE="",IF(TITLE_IST_PUB="","",TITLE_IST_PUB),TITLE_IST_PUB_CHANGE)</f>
        <v>сайт Агентства по регулированию цен и тарифов Ульяновской области</v>
      </c>
      <c r="AH36" s="4752"/>
      <c r="AI36" s="4752"/>
      <c r="AJ36" s="4752"/>
      <c r="AK36" s="4752"/>
      <c r="AL36" s="4752"/>
      <c r="AM36" s="4752"/>
      <c r="AN36" s="4752"/>
      <c r="AO36" s="253"/>
      <c r="AP36" s="253"/>
      <c r="AQ36" s="200"/>
      <c r="AR36" s="297"/>
      <c r="AS36" s="297"/>
      <c r="AT36" s="297"/>
      <c r="AU36" s="297"/>
      <c r="AV36" s="297"/>
    </row>
    <row r="37" spans="1:48" ht="14.25" hidden="1" customHeight="1">
      <c r="R37" s="306"/>
      <c r="S37" s="306"/>
      <c r="T37" s="306"/>
      <c r="U37" s="1196"/>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951" customFormat="1" ht="18.75" hidden="1" customHeight="1">
      <c r="A38" s="1159"/>
      <c r="B38" s="1159"/>
      <c r="C38" s="1159"/>
      <c r="D38" s="1159"/>
      <c r="E38" s="1159"/>
      <c r="F38" s="1159"/>
      <c r="G38" s="1159"/>
      <c r="H38" s="1159"/>
      <c r="I38" s="1159"/>
      <c r="J38" s="1159"/>
      <c r="K38" s="1159"/>
      <c r="L38" s="1159"/>
      <c r="M38" s="1297"/>
      <c r="N38" s="1159"/>
      <c r="O38" s="1159"/>
      <c r="P38" s="1159"/>
      <c r="U38" s="4751" t="s">
        <v>564</v>
      </c>
      <c r="V38" s="4751"/>
      <c r="W38" s="1289"/>
      <c r="X38" s="4761">
        <f>IF(TITLE_DATE_PR_CHANGE="",IF(TITLE_DATE_PR="","",TITLE_DATE_PR),TITLE_DATE_PR_CHANGE)</f>
        <v>45279.639965277776</v>
      </c>
      <c r="Y38" s="4761"/>
      <c r="Z38" s="4761"/>
      <c r="AA38" s="4761"/>
      <c r="AB38" s="4761"/>
      <c r="AC38" s="4761"/>
      <c r="AD38" s="4761"/>
      <c r="AE38" s="4761"/>
      <c r="AF38" s="253"/>
      <c r="AG38" s="4761">
        <f>IF(TITLE_DATE_PR_CHANGE="",IF(TITLE_DATE_PR="","",TITLE_DATE_PR),TITLE_DATE_PR_CHANGE)</f>
        <v>45279.639965277776</v>
      </c>
      <c r="AH38" s="4761"/>
      <c r="AI38" s="4761"/>
      <c r="AJ38" s="4761"/>
      <c r="AK38" s="4761"/>
      <c r="AL38" s="4761"/>
      <c r="AM38" s="4761"/>
      <c r="AN38" s="4761"/>
      <c r="AO38" s="253"/>
      <c r="AP38" s="253"/>
      <c r="AQ38" s="200"/>
      <c r="AR38" s="297"/>
      <c r="AS38" s="297"/>
      <c r="AT38" s="297"/>
      <c r="AU38" s="297"/>
      <c r="AV38" s="297"/>
    </row>
    <row r="39" spans="1:48" s="1951" customFormat="1" ht="18.75" hidden="1" customHeight="1">
      <c r="A39" s="1159"/>
      <c r="B39" s="1159"/>
      <c r="C39" s="1159"/>
      <c r="D39" s="1159"/>
      <c r="E39" s="1159"/>
      <c r="F39" s="1159"/>
      <c r="G39" s="1159"/>
      <c r="H39" s="1159"/>
      <c r="I39" s="1159"/>
      <c r="J39" s="1159"/>
      <c r="K39" s="1159"/>
      <c r="L39" s="1159"/>
      <c r="M39" s="1297"/>
      <c r="N39" s="1159"/>
      <c r="O39" s="1159"/>
      <c r="P39" s="1159"/>
      <c r="U39" s="4751" t="s">
        <v>565</v>
      </c>
      <c r="V39" s="4751"/>
      <c r="W39" s="1289"/>
      <c r="X39" s="4752" t="str">
        <f>IF(TITLE_NUMBER_PR_CHANGE="",IF(TITLE_NUMBER_PR="","",TITLE_NUMBER_PR),TITLE_NUMBER_PR_CHANGE)</f>
        <v>233-П</v>
      </c>
      <c r="Y39" s="4752"/>
      <c r="Z39" s="4752"/>
      <c r="AA39" s="4752"/>
      <c r="AB39" s="4752"/>
      <c r="AC39" s="4752"/>
      <c r="AD39" s="4752"/>
      <c r="AE39" s="4752"/>
      <c r="AF39" s="253"/>
      <c r="AG39" s="4752" t="str">
        <f>IF(TITLE_NUMBER_PR_CHANGE="",IF(TITLE_NUMBER_PR="","",TITLE_NUMBER_PR),TITLE_NUMBER_PR_CHANGE)</f>
        <v>233-П</v>
      </c>
      <c r="AH39" s="4752"/>
      <c r="AI39" s="4752"/>
      <c r="AJ39" s="4752"/>
      <c r="AK39" s="4752"/>
      <c r="AL39" s="4752"/>
      <c r="AM39" s="4752"/>
      <c r="AN39" s="4752"/>
      <c r="AO39" s="253"/>
      <c r="AP39" s="253"/>
      <c r="AQ39" s="200"/>
      <c r="AR39" s="297"/>
      <c r="AS39" s="297"/>
      <c r="AT39" s="297"/>
      <c r="AU39" s="297"/>
      <c r="AV39" s="297"/>
    </row>
    <row r="40" spans="1:48" s="1951" customFormat="1" ht="0" hidden="1" customHeight="1">
      <c r="A40" s="1159"/>
      <c r="B40" s="1159"/>
      <c r="C40" s="1159"/>
      <c r="D40" s="1159"/>
      <c r="E40" s="1159"/>
      <c r="F40" s="1159"/>
      <c r="G40" s="1159"/>
      <c r="H40" s="1159"/>
      <c r="I40" s="1159"/>
      <c r="J40" s="1159"/>
      <c r="K40" s="1159"/>
      <c r="L40" s="1159"/>
      <c r="M40" s="1297"/>
      <c r="N40" s="1159"/>
      <c r="O40" s="1159"/>
      <c r="P40" s="1159"/>
      <c r="U40" s="249"/>
      <c r="V40" s="249"/>
      <c r="W40" s="1258"/>
      <c r="X40" s="253"/>
      <c r="Y40" s="253"/>
      <c r="Z40" s="253"/>
      <c r="AA40" s="253"/>
      <c r="AB40" s="253"/>
      <c r="AC40" s="253"/>
      <c r="AD40" s="253"/>
      <c r="AE40" s="253"/>
      <c r="AF40" s="198" t="s">
        <v>566</v>
      </c>
      <c r="AG40" s="253"/>
      <c r="AH40" s="253"/>
      <c r="AI40" s="253"/>
      <c r="AJ40" s="253"/>
      <c r="AK40" s="253"/>
      <c r="AL40" s="253"/>
      <c r="AM40" s="253"/>
      <c r="AN40" s="253"/>
      <c r="AO40" s="198" t="s">
        <v>566</v>
      </c>
      <c r="AR40" s="297"/>
      <c r="AS40" s="297"/>
      <c r="AT40" s="297"/>
      <c r="AU40" s="297"/>
      <c r="AV40" s="297"/>
    </row>
    <row r="41" spans="1:48" ht="14.25" customHeight="1">
      <c r="R41" s="306"/>
      <c r="S41" s="306"/>
      <c r="T41" s="306"/>
      <c r="U41" s="1196"/>
      <c r="V41" s="291"/>
      <c r="W41" s="1154"/>
      <c r="X41" s="4753"/>
      <c r="Y41" s="4753"/>
      <c r="Z41" s="4753"/>
      <c r="AA41" s="4753"/>
      <c r="AB41" s="4753"/>
      <c r="AC41" s="4753"/>
      <c r="AD41" s="4753"/>
      <c r="AE41" s="4753"/>
      <c r="AF41" s="4753"/>
      <c r="AG41" s="4753"/>
      <c r="AH41" s="4753"/>
      <c r="AI41" s="4753"/>
      <c r="AJ41" s="4753"/>
      <c r="AK41" s="4753"/>
      <c r="AL41" s="4753"/>
      <c r="AM41" s="4753"/>
      <c r="AN41" s="4753"/>
      <c r="AO41" s="4753"/>
    </row>
    <row r="42" spans="1:48" ht="14.25" customHeight="1">
      <c r="R42" s="306"/>
      <c r="S42" s="306"/>
      <c r="T42" s="306"/>
      <c r="U42" s="4627" t="s">
        <v>439</v>
      </c>
      <c r="V42" s="4627"/>
      <c r="W42" s="4627"/>
      <c r="X42" s="4627"/>
      <c r="Y42" s="4627"/>
      <c r="Z42" s="4627"/>
      <c r="AA42" s="4627"/>
      <c r="AB42" s="4627"/>
      <c r="AC42" s="4627"/>
      <c r="AD42" s="4627"/>
      <c r="AE42" s="4627"/>
      <c r="AF42" s="4627"/>
      <c r="AG42" s="4627"/>
      <c r="AH42" s="4627"/>
      <c r="AI42" s="4627"/>
      <c r="AJ42" s="4627"/>
      <c r="AK42" s="4627"/>
      <c r="AL42" s="4627"/>
      <c r="AM42" s="4627"/>
      <c r="AN42" s="4627"/>
      <c r="AO42" s="4627"/>
      <c r="AP42" s="4627"/>
      <c r="AQ42" s="4627" t="s">
        <v>440</v>
      </c>
    </row>
    <row r="43" spans="1:48" ht="14.25" customHeight="1">
      <c r="R43" s="306"/>
      <c r="S43" s="306"/>
      <c r="T43" s="306"/>
      <c r="U43" s="4767" t="s">
        <v>86</v>
      </c>
      <c r="V43" s="4719" t="s">
        <v>567</v>
      </c>
      <c r="W43" s="220"/>
      <c r="X43" s="4768" t="s">
        <v>568</v>
      </c>
      <c r="Y43" s="4783"/>
      <c r="Z43" s="4783"/>
      <c r="AA43" s="4783"/>
      <c r="AB43" s="4783"/>
      <c r="AC43" s="4769"/>
      <c r="AD43" s="4769"/>
      <c r="AE43" s="4770"/>
      <c r="AF43" s="4771" t="s">
        <v>569</v>
      </c>
      <c r="AG43" s="4768" t="s">
        <v>568</v>
      </c>
      <c r="AH43" s="4783"/>
      <c r="AI43" s="4783"/>
      <c r="AJ43" s="4783"/>
      <c r="AK43" s="4783"/>
      <c r="AL43" s="4769"/>
      <c r="AM43" s="4769"/>
      <c r="AN43" s="4770"/>
      <c r="AO43" s="4771" t="s">
        <v>570</v>
      </c>
      <c r="AP43" s="4774" t="s">
        <v>571</v>
      </c>
      <c r="AQ43" s="4627"/>
    </row>
    <row r="44" spans="1:48" ht="33.75" customHeight="1">
      <c r="R44" s="306"/>
      <c r="S44" s="306"/>
      <c r="T44" s="306"/>
      <c r="U44" s="4767"/>
      <c r="V44" s="4719"/>
      <c r="W44" s="939"/>
      <c r="X44" s="4704" t="s">
        <v>592</v>
      </c>
      <c r="Y44" s="4627" t="s">
        <v>593</v>
      </c>
      <c r="Z44" s="4627"/>
      <c r="AA44" s="4627"/>
      <c r="AB44" s="4627"/>
      <c r="AC44" s="4704" t="s">
        <v>575</v>
      </c>
      <c r="AD44" s="4792"/>
      <c r="AE44" s="4705"/>
      <c r="AF44" s="4772"/>
      <c r="AG44" s="4704" t="s">
        <v>592</v>
      </c>
      <c r="AH44" s="4627" t="s">
        <v>593</v>
      </c>
      <c r="AI44" s="4627"/>
      <c r="AJ44" s="4627"/>
      <c r="AK44" s="4627"/>
      <c r="AL44" s="4704" t="s">
        <v>575</v>
      </c>
      <c r="AM44" s="4792"/>
      <c r="AN44" s="4705"/>
      <c r="AO44" s="4772"/>
      <c r="AP44" s="4775"/>
      <c r="AQ44" s="4627"/>
    </row>
    <row r="45" spans="1:48" ht="14.25" customHeight="1">
      <c r="R45" s="306"/>
      <c r="S45" s="306"/>
      <c r="T45" s="306"/>
      <c r="U45" s="4767"/>
      <c r="V45" s="4719"/>
      <c r="W45" s="939"/>
      <c r="X45" s="4706"/>
      <c r="Y45" s="4732" t="s">
        <v>594</v>
      </c>
      <c r="Z45" s="4727" t="s">
        <v>595</v>
      </c>
      <c r="AA45" s="4728"/>
      <c r="AB45" s="4729"/>
      <c r="AC45" s="4709"/>
      <c r="AD45" s="4793"/>
      <c r="AE45" s="4710"/>
      <c r="AF45" s="4772"/>
      <c r="AG45" s="4706"/>
      <c r="AH45" s="4732" t="s">
        <v>594</v>
      </c>
      <c r="AI45" s="4727" t="s">
        <v>595</v>
      </c>
      <c r="AJ45" s="4728"/>
      <c r="AK45" s="4729"/>
      <c r="AL45" s="4709"/>
      <c r="AM45" s="4793"/>
      <c r="AN45" s="4710"/>
      <c r="AO45" s="4772"/>
      <c r="AP45" s="4775"/>
      <c r="AQ45" s="4627"/>
    </row>
    <row r="46" spans="1:48" ht="25.5" customHeight="1">
      <c r="R46" s="306"/>
      <c r="S46" s="306"/>
      <c r="T46" s="306"/>
      <c r="U46" s="4767"/>
      <c r="V46" s="4719"/>
      <c r="W46" s="939"/>
      <c r="X46" s="4706"/>
      <c r="Y46" s="4794"/>
      <c r="Z46" s="4732" t="s">
        <v>596</v>
      </c>
      <c r="AA46" s="4727" t="s">
        <v>597</v>
      </c>
      <c r="AB46" s="4729"/>
      <c r="AC46" s="4732" t="s">
        <v>585</v>
      </c>
      <c r="AD46" s="4734" t="s">
        <v>586</v>
      </c>
      <c r="AE46" s="4736"/>
      <c r="AF46" s="4772"/>
      <c r="AG46" s="4706"/>
      <c r="AH46" s="4794"/>
      <c r="AI46" s="4732" t="s">
        <v>596</v>
      </c>
      <c r="AJ46" s="4727" t="s">
        <v>597</v>
      </c>
      <c r="AK46" s="4729"/>
      <c r="AL46" s="4732" t="s">
        <v>585</v>
      </c>
      <c r="AM46" s="4734" t="s">
        <v>586</v>
      </c>
      <c r="AN46" s="4736"/>
      <c r="AO46" s="4772"/>
      <c r="AP46" s="4775"/>
      <c r="AQ46" s="4627"/>
    </row>
    <row r="47" spans="1:48" ht="62.25" customHeight="1">
      <c r="A47" s="1180"/>
      <c r="B47" s="1180" t="s">
        <v>197</v>
      </c>
      <c r="C47" s="1180" t="s">
        <v>198</v>
      </c>
      <c r="D47" s="1180" t="s">
        <v>199</v>
      </c>
      <c r="E47" s="1229" t="s">
        <v>576</v>
      </c>
      <c r="F47" s="1229" t="s">
        <v>577</v>
      </c>
      <c r="G47" s="1229" t="s">
        <v>578</v>
      </c>
      <c r="H47" s="1229" t="s">
        <v>579</v>
      </c>
      <c r="I47" s="1229" t="s">
        <v>580</v>
      </c>
      <c r="J47" s="1229" t="s">
        <v>581</v>
      </c>
      <c r="K47" s="1229" t="s">
        <v>582</v>
      </c>
      <c r="L47" s="1229" t="s">
        <v>598</v>
      </c>
      <c r="M47" s="1229" t="s">
        <v>557</v>
      </c>
      <c r="R47" s="306"/>
      <c r="S47" s="306"/>
      <c r="T47" s="306"/>
      <c r="U47" s="4767"/>
      <c r="V47" s="4719"/>
      <c r="W47" s="221"/>
      <c r="X47" s="4709"/>
      <c r="Y47" s="4733"/>
      <c r="Z47" s="4733"/>
      <c r="AA47" s="1129" t="s">
        <v>599</v>
      </c>
      <c r="AB47" s="1129" t="s">
        <v>600</v>
      </c>
      <c r="AC47" s="4733"/>
      <c r="AD47" s="4735"/>
      <c r="AE47" s="4737"/>
      <c r="AF47" s="4773"/>
      <c r="AG47" s="4709"/>
      <c r="AH47" s="4733"/>
      <c r="AI47" s="4733"/>
      <c r="AJ47" s="1129" t="s">
        <v>599</v>
      </c>
      <c r="AK47" s="1129" t="s">
        <v>600</v>
      </c>
      <c r="AL47" s="4733"/>
      <c r="AM47" s="4735"/>
      <c r="AN47" s="4737"/>
      <c r="AO47" s="4773"/>
      <c r="AP47" s="4776"/>
      <c r="AQ47" s="4627"/>
    </row>
    <row r="48" spans="1:48" s="1820" customFormat="1" ht="11.25" hidden="1" customHeight="1">
      <c r="A48" s="1180"/>
      <c r="B48" s="1180"/>
      <c r="C48" s="1180"/>
      <c r="D48" s="1180"/>
      <c r="E48" s="1180"/>
      <c r="F48" s="1180"/>
      <c r="G48" s="1180"/>
      <c r="H48" s="1180"/>
      <c r="I48" s="1180"/>
      <c r="J48" s="1180"/>
      <c r="K48" s="1180"/>
      <c r="L48" s="1180"/>
      <c r="M48" s="1229"/>
      <c r="N48" s="1246"/>
      <c r="O48" s="1246"/>
      <c r="P48" s="1246"/>
      <c r="Q48" s="1156"/>
      <c r="R48" s="1157"/>
      <c r="S48" s="1172">
        <v>1</v>
      </c>
      <c r="T48" s="1172"/>
      <c r="U48" s="1198" t="s">
        <v>174</v>
      </c>
      <c r="V48" s="1173" t="s">
        <v>101</v>
      </c>
      <c r="W48" s="1155" t="str">
        <f ca="1">OFFSET(W48,0,-1)</f>
        <v>2</v>
      </c>
      <c r="X48" s="1253">
        <f ca="1">OFFSET(X48,0,-1)+1</f>
        <v>3</v>
      </c>
      <c r="Y48" s="1259"/>
      <c r="Z48" s="1259"/>
      <c r="AA48" s="1259">
        <f ca="1">OFFSET(AA48,0,-1)+1</f>
        <v>1</v>
      </c>
      <c r="AB48" s="1259">
        <f ca="1">OFFSET(AB48,0,-1)+1</f>
        <v>2</v>
      </c>
      <c r="AC48" s="1253">
        <f ca="1">OFFSET(AC48,0,-1)+1</f>
        <v>3</v>
      </c>
      <c r="AD48" s="4766">
        <f ca="1">OFFSET(AD48,0,-1)+1</f>
        <v>4</v>
      </c>
      <c r="AE48" s="4766"/>
      <c r="AF48" s="1253">
        <f ca="1">OFFSET(AF48,0,-2)+1</f>
        <v>5</v>
      </c>
      <c r="AG48" s="1253">
        <f ca="1">OFFSET(AG48,0,-1)+1</f>
        <v>6</v>
      </c>
      <c r="AH48" s="1253"/>
      <c r="AI48" s="1253"/>
      <c r="AJ48" s="1253">
        <f ca="1">OFFSET(AJ48,0,-1)+1</f>
        <v>1</v>
      </c>
      <c r="AK48" s="1253">
        <f ca="1">OFFSET(AK48,0,-1)+1</f>
        <v>2</v>
      </c>
      <c r="AL48" s="1253">
        <f ca="1">OFFSET(AL48,0,-1)+1</f>
        <v>3</v>
      </c>
      <c r="AM48" s="4766">
        <f ca="1">OFFSET(AM48,0,-1)+1</f>
        <v>4</v>
      </c>
      <c r="AN48" s="4766"/>
      <c r="AO48" s="1253">
        <f ca="1">OFFSET(AO48,0,-2)+1</f>
        <v>5</v>
      </c>
      <c r="AP48" s="1155">
        <f ca="1">OFFSET(AP48,0,-1)</f>
        <v>5</v>
      </c>
      <c r="AQ48" s="1253">
        <f ca="1">OFFSET(AQ48,0,-1)+1</f>
        <v>6</v>
      </c>
      <c r="AR48" s="438"/>
      <c r="AS48" s="438"/>
      <c r="AT48" s="438"/>
      <c r="AU48" s="438"/>
      <c r="AV48" s="438"/>
    </row>
    <row r="49" spans="1:48" ht="21" customHeight="1">
      <c r="A49" s="1187" t="s">
        <v>233</v>
      </c>
      <c r="B49" s="1187"/>
      <c r="C49" s="1187"/>
      <c r="D49" s="1187"/>
      <c r="E49" s="4789">
        <v>1</v>
      </c>
      <c r="F49" s="1187"/>
      <c r="G49" s="1187"/>
      <c r="H49" s="1187"/>
      <c r="I49" s="1187"/>
      <c r="J49" s="1187"/>
      <c r="K49" s="1187"/>
      <c r="L49" s="1187"/>
      <c r="M49" s="1229"/>
      <c r="N49" s="609"/>
      <c r="O49" s="609"/>
      <c r="P49" s="609"/>
      <c r="Q49" s="287"/>
      <c r="R49" s="286"/>
      <c r="S49" s="286"/>
      <c r="T49" s="281"/>
      <c r="U49" s="1254">
        <f>INDEX(PT_DIFFERENTIATION_NUM_NTAR,MATCH(A49,PT_DIFFERENTIATION_NTAR_ID,0))</f>
        <v>0</v>
      </c>
      <c r="V49" s="217" t="s">
        <v>185</v>
      </c>
      <c r="W49" s="219"/>
      <c r="X49" s="4745"/>
      <c r="Y49" s="4746"/>
      <c r="Z49" s="4746"/>
      <c r="AA49" s="4746"/>
      <c r="AB49" s="4746"/>
      <c r="AC49" s="4746"/>
      <c r="AD49" s="4746"/>
      <c r="AE49" s="4746"/>
      <c r="AF49" s="4747"/>
      <c r="AG49" s="4745" t="str">
        <f>INDEX(PT_DIFFERENTIATION_NTAR,MATCH(A49,PT_DIFFERENTIATION_NTAR_ID,0))</f>
        <v/>
      </c>
      <c r="AH49" s="4746"/>
      <c r="AI49" s="4746"/>
      <c r="AJ49" s="4746"/>
      <c r="AK49" s="4746"/>
      <c r="AL49" s="4746"/>
      <c r="AM49" s="4746"/>
      <c r="AN49" s="4746"/>
      <c r="AO49" s="4746"/>
      <c r="AP49" s="4747"/>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7"/>
      <c r="AT49" s="427" t="str">
        <f t="shared" ref="AT49:AT65" si="2">IF(V49="","",V49)</f>
        <v>Наименование тарифа</v>
      </c>
      <c r="AU49" s="427"/>
      <c r="AV49" s="427"/>
    </row>
    <row r="50" spans="1:48" ht="21" customHeight="1">
      <c r="A50" s="1187" t="s">
        <v>233</v>
      </c>
      <c r="B50" s="1187" t="s">
        <v>234</v>
      </c>
      <c r="C50" s="1187"/>
      <c r="D50" s="1187"/>
      <c r="E50" s="4790"/>
      <c r="F50" s="4789">
        <v>1</v>
      </c>
      <c r="G50" s="1187"/>
      <c r="H50" s="1187"/>
      <c r="I50" s="1187"/>
      <c r="J50" s="1187"/>
      <c r="K50" s="1187"/>
      <c r="L50" s="1187"/>
      <c r="M50" s="1229"/>
      <c r="N50" s="609"/>
      <c r="O50" s="609"/>
      <c r="P50" s="609"/>
      <c r="Q50" s="1250"/>
      <c r="R50" s="278"/>
      <c r="S50" s="436"/>
      <c r="T50" s="279"/>
      <c r="U50" s="1254" t="str">
        <f>INDEX(PT_DIFFERENTIATION_NUM_TER,MATCH(B50,PT_DIFFERENTIATION_TER_ID,0))</f>
        <v>.</v>
      </c>
      <c r="V50" s="229" t="s">
        <v>538</v>
      </c>
      <c r="W50" s="219"/>
      <c r="X50" s="4745"/>
      <c r="Y50" s="4746"/>
      <c r="Z50" s="4746"/>
      <c r="AA50" s="4746"/>
      <c r="AB50" s="4746"/>
      <c r="AC50" s="4746"/>
      <c r="AD50" s="4746"/>
      <c r="AE50" s="4746"/>
      <c r="AF50" s="4747"/>
      <c r="AG50" s="4745" t="str">
        <f>INDEX(PT_DIFFERENTIATION_TER,MATCH(B50,PT_DIFFERENTIATION_TER_ID,0))</f>
        <v/>
      </c>
      <c r="AH50" s="4746"/>
      <c r="AI50" s="4746"/>
      <c r="AJ50" s="4746"/>
      <c r="AK50" s="4746"/>
      <c r="AL50" s="4746"/>
      <c r="AM50" s="4746"/>
      <c r="AN50" s="4746"/>
      <c r="AO50" s="4746"/>
      <c r="AP50" s="4747"/>
      <c r="AQ50" s="1178" t="s">
        <v>539</v>
      </c>
      <c r="AS50" s="427"/>
      <c r="AT50" s="427" t="str">
        <f t="shared" si="2"/>
        <v>Территория действия тарифа</v>
      </c>
      <c r="AU50" s="427"/>
      <c r="AV50" s="427"/>
    </row>
    <row r="51" spans="1:48" ht="22.5" customHeight="1">
      <c r="A51" s="1187" t="s">
        <v>233</v>
      </c>
      <c r="B51" s="1187" t="s">
        <v>234</v>
      </c>
      <c r="C51" s="1187" t="s">
        <v>235</v>
      </c>
      <c r="D51" s="1187"/>
      <c r="E51" s="4790"/>
      <c r="F51" s="4790"/>
      <c r="G51" s="4789">
        <v>1</v>
      </c>
      <c r="H51" s="1187"/>
      <c r="I51" s="1187"/>
      <c r="J51" s="1187"/>
      <c r="K51" s="1187"/>
      <c r="L51" s="1187"/>
      <c r="M51" s="1229"/>
      <c r="N51" s="609"/>
      <c r="O51" s="609"/>
      <c r="P51" s="609"/>
      <c r="Q51" s="280"/>
      <c r="R51" s="278"/>
      <c r="S51" s="436"/>
      <c r="T51" s="279"/>
      <c r="U51" s="1254" t="str">
        <f>INDEX(PT_DIFFERENTIATION_NUM_CS,MATCH(C51,PT_DIFFERENTIATION_CS_ID,0))</f>
        <v>..</v>
      </c>
      <c r="V51" s="230" t="s">
        <v>540</v>
      </c>
      <c r="W51" s="219"/>
      <c r="X51" s="4745"/>
      <c r="Y51" s="4746"/>
      <c r="Z51" s="4746"/>
      <c r="AA51" s="4746"/>
      <c r="AB51" s="4746"/>
      <c r="AC51" s="4746"/>
      <c r="AD51" s="4746"/>
      <c r="AE51" s="4746"/>
      <c r="AF51" s="4747"/>
      <c r="AG51" s="4745" t="str">
        <f>INDEX(PT_DIFFERENTIATION_CS,MATCH(C51,PT_DIFFERENTIATION_CS_ID,0))</f>
        <v/>
      </c>
      <c r="AH51" s="4746"/>
      <c r="AI51" s="4746"/>
      <c r="AJ51" s="4746"/>
      <c r="AK51" s="4746"/>
      <c r="AL51" s="4746"/>
      <c r="AM51" s="4746"/>
      <c r="AN51" s="4746"/>
      <c r="AO51" s="4746"/>
      <c r="AP51" s="4747"/>
      <c r="AQ51" s="1178" t="s">
        <v>541</v>
      </c>
      <c r="AS51" s="427"/>
      <c r="AT51" s="427" t="str">
        <f t="shared" si="2"/>
        <v xml:space="preserve">Наименование системы теплоснабжения </v>
      </c>
      <c r="AU51" s="427"/>
      <c r="AV51" s="427"/>
    </row>
    <row r="52" spans="1:48" ht="21" customHeight="1">
      <c r="A52" s="1187" t="s">
        <v>233</v>
      </c>
      <c r="B52" s="1187" t="s">
        <v>234</v>
      </c>
      <c r="C52" s="1187" t="s">
        <v>235</v>
      </c>
      <c r="D52" s="1187" t="s">
        <v>236</v>
      </c>
      <c r="E52" s="4790"/>
      <c r="F52" s="4790"/>
      <c r="G52" s="4790"/>
      <c r="H52" s="4789">
        <v>1</v>
      </c>
      <c r="I52" s="1187"/>
      <c r="J52" s="1187"/>
      <c r="K52" s="1187"/>
      <c r="L52" s="1187"/>
      <c r="M52" s="1229"/>
      <c r="N52" s="609"/>
      <c r="O52" s="609"/>
      <c r="P52" s="609"/>
      <c r="Q52" s="280"/>
      <c r="R52" s="278"/>
      <c r="S52" s="436"/>
      <c r="T52" s="279"/>
      <c r="U52" s="1254" t="str">
        <f>INDEX(PT_DIFFERENTIATION_NUM_IST_TE,MATCH(D52,PT_DIFFERENTIATION_IST_TE_ID,0))</f>
        <v>...</v>
      </c>
      <c r="V52" s="231" t="s">
        <v>542</v>
      </c>
      <c r="W52" s="219"/>
      <c r="X52" s="4745"/>
      <c r="Y52" s="4746"/>
      <c r="Z52" s="4746"/>
      <c r="AA52" s="4746"/>
      <c r="AB52" s="4746"/>
      <c r="AC52" s="4746"/>
      <c r="AD52" s="4746"/>
      <c r="AE52" s="4746"/>
      <c r="AF52" s="4747"/>
      <c r="AG52" s="4745" t="str">
        <f>INDEX(PT_DIFFERENTIATION_IST_TE,MATCH(D52,PT_DIFFERENTIATION_IST_TE_ID,0))</f>
        <v/>
      </c>
      <c r="AH52" s="4746"/>
      <c r="AI52" s="4746"/>
      <c r="AJ52" s="4746"/>
      <c r="AK52" s="4746"/>
      <c r="AL52" s="4746"/>
      <c r="AM52" s="4746"/>
      <c r="AN52" s="4746"/>
      <c r="AO52" s="4746"/>
      <c r="AP52" s="4747"/>
      <c r="AQ52" s="1178" t="s">
        <v>543</v>
      </c>
      <c r="AS52" s="427"/>
      <c r="AT52" s="427" t="str">
        <f t="shared" si="2"/>
        <v xml:space="preserve">Источник тепловой энергии  </v>
      </c>
      <c r="AU52" s="427"/>
      <c r="AV52" s="427"/>
    </row>
    <row r="53" spans="1:48" s="1821" customFormat="1" ht="0" hidden="1" customHeight="1">
      <c r="A53" s="1292" t="s">
        <v>233</v>
      </c>
      <c r="B53" s="1292" t="s">
        <v>234</v>
      </c>
      <c r="C53" s="1292" t="s">
        <v>235</v>
      </c>
      <c r="D53" s="1292" t="s">
        <v>236</v>
      </c>
      <c r="E53" s="4790"/>
      <c r="F53" s="4790"/>
      <c r="G53" s="4790"/>
      <c r="H53" s="4790"/>
      <c r="I53" s="4627" t="str">
        <f>U52&amp;".1"</f>
        <v>....1</v>
      </c>
      <c r="J53" s="1292"/>
      <c r="K53" s="1292"/>
      <c r="L53" s="1292"/>
      <c r="M53" s="1298" t="s">
        <v>544</v>
      </c>
      <c r="N53" s="1156"/>
      <c r="O53" s="1156"/>
      <c r="P53" s="1156"/>
      <c r="Q53" s="4758">
        <v>1</v>
      </c>
      <c r="R53" s="1249"/>
      <c r="S53" s="1249"/>
      <c r="T53" s="282"/>
      <c r="U53" s="950"/>
      <c r="V53" s="1300"/>
      <c r="W53" s="1301"/>
      <c r="X53" s="4786"/>
      <c r="Y53" s="4787"/>
      <c r="Z53" s="4787"/>
      <c r="AA53" s="4787"/>
      <c r="AB53" s="4787"/>
      <c r="AC53" s="4787"/>
      <c r="AD53" s="4787"/>
      <c r="AE53" s="4787"/>
      <c r="AF53" s="4788"/>
      <c r="AG53" s="4786"/>
      <c r="AH53" s="4787"/>
      <c r="AI53" s="4787"/>
      <c r="AJ53" s="4787"/>
      <c r="AK53" s="4787"/>
      <c r="AL53" s="4787"/>
      <c r="AM53" s="4787"/>
      <c r="AN53" s="4787"/>
      <c r="AO53" s="4787"/>
      <c r="AP53" s="4788"/>
      <c r="AQ53" s="1302"/>
      <c r="AS53" s="427"/>
      <c r="AT53" s="427" t="str">
        <f t="shared" si="2"/>
        <v/>
      </c>
      <c r="AU53" s="427"/>
      <c r="AV53" s="427"/>
    </row>
    <row r="54" spans="1:48" ht="21" customHeight="1">
      <c r="A54" s="1187" t="s">
        <v>233</v>
      </c>
      <c r="B54" s="1187" t="s">
        <v>234</v>
      </c>
      <c r="C54" s="1187" t="s">
        <v>235</v>
      </c>
      <c r="D54" s="1187" t="s">
        <v>236</v>
      </c>
      <c r="E54" s="4790"/>
      <c r="F54" s="4790"/>
      <c r="G54" s="4790"/>
      <c r="H54" s="4790"/>
      <c r="I54" s="4598"/>
      <c r="J54" s="4627" t="str">
        <f>I53&amp;".1"</f>
        <v>....1.1</v>
      </c>
      <c r="K54" s="1187"/>
      <c r="L54" s="1187"/>
      <c r="M54" s="1229" t="s">
        <v>547</v>
      </c>
      <c r="Q54" s="4758"/>
      <c r="R54" s="4758">
        <v>1</v>
      </c>
      <c r="S54" s="445"/>
      <c r="T54" s="283"/>
      <c r="U54" s="1254" t="str">
        <f>$J54</f>
        <v>....1.1</v>
      </c>
      <c r="V54" s="205" t="s">
        <v>548</v>
      </c>
      <c r="W54" s="219"/>
      <c r="X54" s="4748"/>
      <c r="Y54" s="4749"/>
      <c r="Z54" s="4749"/>
      <c r="AA54" s="4749"/>
      <c r="AB54" s="4749"/>
      <c r="AC54" s="4741"/>
      <c r="AD54" s="4741"/>
      <c r="AE54" s="4741"/>
      <c r="AF54" s="4791"/>
      <c r="AG54" s="4748"/>
      <c r="AH54" s="4749"/>
      <c r="AI54" s="4749"/>
      <c r="AJ54" s="4749"/>
      <c r="AK54" s="4749"/>
      <c r="AL54" s="4749"/>
      <c r="AM54" s="4749"/>
      <c r="AN54" s="4749"/>
      <c r="AO54" s="4749"/>
      <c r="AP54" s="4750"/>
      <c r="AQ54" s="1178" t="s">
        <v>549</v>
      </c>
      <c r="AS54" s="427"/>
      <c r="AT54" s="427" t="str">
        <f t="shared" si="2"/>
        <v>Группа потребителей</v>
      </c>
      <c r="AU54" s="427"/>
      <c r="AV54" s="427"/>
    </row>
    <row r="55" spans="1:48" ht="21" customHeight="1">
      <c r="A55" s="1187" t="s">
        <v>233</v>
      </c>
      <c r="B55" s="1187" t="s">
        <v>234</v>
      </c>
      <c r="C55" s="1187" t="s">
        <v>235</v>
      </c>
      <c r="D55" s="1187" t="s">
        <v>236</v>
      </c>
      <c r="E55" s="4790"/>
      <c r="F55" s="4790"/>
      <c r="G55" s="4790"/>
      <c r="H55" s="4790"/>
      <c r="I55" s="4598"/>
      <c r="J55" s="4598"/>
      <c r="K55" s="4627" t="str">
        <f>J54&amp;".1"</f>
        <v>....1.1.1</v>
      </c>
      <c r="L55" s="65"/>
      <c r="M55" s="1229" t="s">
        <v>550</v>
      </c>
      <c r="Q55" s="4758"/>
      <c r="R55" s="4758"/>
      <c r="S55" s="445">
        <v>1</v>
      </c>
      <c r="T55" s="283"/>
      <c r="U55" s="1254" t="str">
        <f>$K55</f>
        <v>....1.1.1</v>
      </c>
      <c r="V55" s="1265"/>
      <c r="W55" s="219"/>
      <c r="X55" s="669"/>
      <c r="Y55" s="669"/>
      <c r="Z55" s="669"/>
      <c r="AA55" s="669"/>
      <c r="AB55" s="1322"/>
      <c r="AC55" s="4762"/>
      <c r="AD55" s="4608" t="s">
        <v>65</v>
      </c>
      <c r="AE55" s="4762"/>
      <c r="AF55" s="4608" t="s">
        <v>65</v>
      </c>
      <c r="AG55" s="1324"/>
      <c r="AH55" s="669"/>
      <c r="AI55" s="669"/>
      <c r="AJ55" s="669"/>
      <c r="AK55" s="1177"/>
      <c r="AL55" s="4762"/>
      <c r="AM55" s="4608" t="s">
        <v>65</v>
      </c>
      <c r="AN55" s="4762"/>
      <c r="AO55" s="4608" t="s">
        <v>65</v>
      </c>
      <c r="AP55" s="1266"/>
      <c r="AQ55" s="1227" t="s">
        <v>589</v>
      </c>
      <c r="AR55" s="438" t="e">
        <f ca="1">STRCHECKDATE(X57:AP57)</f>
        <v>#NAME?</v>
      </c>
      <c r="AS55" s="427"/>
      <c r="AT55" s="427" t="str">
        <f t="shared" si="2"/>
        <v/>
      </c>
      <c r="AU55" s="427"/>
      <c r="AV55" s="427"/>
    </row>
    <row r="56" spans="1:48" ht="11.25" customHeight="1">
      <c r="A56" s="1187" t="s">
        <v>233</v>
      </c>
      <c r="B56" s="1187" t="s">
        <v>234</v>
      </c>
      <c r="C56" s="1187" t="s">
        <v>235</v>
      </c>
      <c r="D56" s="1187" t="s">
        <v>236</v>
      </c>
      <c r="E56" s="4790"/>
      <c r="F56" s="4790"/>
      <c r="G56" s="4790"/>
      <c r="H56" s="4790"/>
      <c r="I56" s="4598"/>
      <c r="J56" s="4598"/>
      <c r="K56" s="4598"/>
      <c r="L56" s="4627" t="str">
        <f>K55&amp;".1"</f>
        <v>....1.1.1.1</v>
      </c>
      <c r="M56" s="1229"/>
      <c r="Q56" s="4758"/>
      <c r="R56" s="4758"/>
      <c r="S56" s="445">
        <v>1</v>
      </c>
      <c r="T56" s="283"/>
      <c r="U56" s="1254" t="str">
        <f>$L56</f>
        <v>....1.1.1.1</v>
      </c>
      <c r="V56" s="1308"/>
      <c r="W56" s="219"/>
      <c r="X56" s="251"/>
      <c r="Y56" s="669"/>
      <c r="Z56" s="669"/>
      <c r="AA56" s="669"/>
      <c r="AB56" s="1322"/>
      <c r="AC56" s="4763"/>
      <c r="AD56" s="4608"/>
      <c r="AE56" s="4763"/>
      <c r="AF56" s="4608"/>
      <c r="AG56" s="1324"/>
      <c r="AH56" s="669"/>
      <c r="AI56" s="669"/>
      <c r="AJ56" s="669"/>
      <c r="AK56" s="1177"/>
      <c r="AL56" s="4763"/>
      <c r="AM56" s="4608"/>
      <c r="AN56" s="4763"/>
      <c r="AO56" s="4608"/>
      <c r="AP56" s="1266"/>
      <c r="AQ56" s="4754" t="s">
        <v>590</v>
      </c>
      <c r="AR56" s="438" t="e">
        <f ca="1">STRCHECKDATE(X58:AP58)</f>
        <v>#NAME?</v>
      </c>
      <c r="AS56" s="427"/>
      <c r="AT56" s="427" t="str">
        <f t="shared" si="2"/>
        <v/>
      </c>
      <c r="AU56" s="427"/>
      <c r="AV56" s="427"/>
    </row>
    <row r="57" spans="1:48" ht="0" hidden="1" customHeight="1">
      <c r="A57" s="1187" t="s">
        <v>233</v>
      </c>
      <c r="B57" s="1187" t="s">
        <v>234</v>
      </c>
      <c r="C57" s="1187" t="s">
        <v>235</v>
      </c>
      <c r="D57" s="1187" t="s">
        <v>236</v>
      </c>
      <c r="E57" s="4790"/>
      <c r="F57" s="4790"/>
      <c r="G57" s="4790"/>
      <c r="H57" s="4790"/>
      <c r="I57" s="4598"/>
      <c r="J57" s="4598"/>
      <c r="K57" s="4598"/>
      <c r="L57" s="4627"/>
      <c r="M57" s="1229"/>
      <c r="Q57" s="4758"/>
      <c r="R57" s="4758"/>
      <c r="S57" s="445"/>
      <c r="T57" s="283"/>
      <c r="U57" s="1260"/>
      <c r="V57" s="219"/>
      <c r="W57" s="219"/>
      <c r="X57" s="251"/>
      <c r="Y57" s="251"/>
      <c r="Z57" s="251"/>
      <c r="AA57" s="251"/>
      <c r="AB57" s="1323" t="str">
        <f>AC55&amp;"-"&amp;AE55</f>
        <v>-</v>
      </c>
      <c r="AC57" s="4763"/>
      <c r="AD57" s="4608"/>
      <c r="AE57" s="4763"/>
      <c r="AF57" s="4608"/>
      <c r="AG57" s="1299"/>
      <c r="AH57" s="251"/>
      <c r="AI57" s="251"/>
      <c r="AJ57" s="251"/>
      <c r="AK57" s="255" t="str">
        <f>AL55&amp;"-"&amp;AN55</f>
        <v>-</v>
      </c>
      <c r="AL57" s="4763"/>
      <c r="AM57" s="4608"/>
      <c r="AN57" s="4763"/>
      <c r="AO57" s="4608"/>
      <c r="AP57" s="1267"/>
      <c r="AQ57" s="4755"/>
      <c r="AS57" s="427"/>
      <c r="AT57" s="427" t="str">
        <f t="shared" si="2"/>
        <v/>
      </c>
      <c r="AU57" s="427"/>
      <c r="AV57" s="427"/>
    </row>
    <row r="58" spans="1:48" ht="11.25" customHeight="1">
      <c r="A58" s="1187" t="s">
        <v>233</v>
      </c>
      <c r="B58" s="1187" t="s">
        <v>234</v>
      </c>
      <c r="C58" s="1187" t="s">
        <v>235</v>
      </c>
      <c r="D58" s="1187" t="s">
        <v>236</v>
      </c>
      <c r="E58" s="4790"/>
      <c r="F58" s="4790"/>
      <c r="G58" s="4790"/>
      <c r="H58" s="4790"/>
      <c r="I58" s="4598"/>
      <c r="J58" s="4598"/>
      <c r="K58" s="4627"/>
      <c r="L58" s="1187"/>
      <c r="M58" s="1229"/>
      <c r="Q58" s="4758"/>
      <c r="R58" s="4758"/>
      <c r="S58" s="1249"/>
      <c r="T58" s="282"/>
      <c r="U58" s="1199"/>
      <c r="V58" s="207" t="s">
        <v>591</v>
      </c>
      <c r="W58" s="296"/>
      <c r="X58" s="296"/>
      <c r="Y58" s="296"/>
      <c r="Z58" s="296"/>
      <c r="AA58" s="296"/>
      <c r="AB58" s="296"/>
      <c r="AC58" s="4763"/>
      <c r="AD58" s="4608"/>
      <c r="AE58" s="4763"/>
      <c r="AF58" s="4608"/>
      <c r="AG58" s="296"/>
      <c r="AH58" s="296"/>
      <c r="AI58" s="296"/>
      <c r="AJ58" s="296"/>
      <c r="AK58" s="296"/>
      <c r="AL58" s="4763"/>
      <c r="AM58" s="4608"/>
      <c r="AN58" s="4763"/>
      <c r="AO58" s="4608"/>
      <c r="AP58" s="250"/>
      <c r="AQ58" s="4755"/>
      <c r="AS58" s="427"/>
      <c r="AT58" s="427" t="str">
        <f t="shared" si="2"/>
        <v>Добавить наименование поставщика</v>
      </c>
      <c r="AU58" s="427"/>
      <c r="AV58" s="427"/>
    </row>
    <row r="59" spans="1:48" ht="11.25" customHeight="1">
      <c r="A59" s="1187" t="s">
        <v>233</v>
      </c>
      <c r="B59" s="1187" t="s">
        <v>234</v>
      </c>
      <c r="C59" s="1187" t="s">
        <v>235</v>
      </c>
      <c r="D59" s="1187" t="s">
        <v>236</v>
      </c>
      <c r="E59" s="4790"/>
      <c r="F59" s="4790"/>
      <c r="G59" s="4790"/>
      <c r="H59" s="4790"/>
      <c r="I59" s="4598"/>
      <c r="J59" s="4627"/>
      <c r="K59" s="1187"/>
      <c r="L59" s="1187"/>
      <c r="M59" s="1229"/>
      <c r="Q59" s="4758"/>
      <c r="R59" s="4758"/>
      <c r="S59" s="1249"/>
      <c r="T59" s="282"/>
      <c r="U59" s="1199"/>
      <c r="V59" s="206" t="s">
        <v>552</v>
      </c>
      <c r="W59" s="296"/>
      <c r="X59" s="296"/>
      <c r="Y59" s="296"/>
      <c r="Z59" s="296"/>
      <c r="AA59" s="296"/>
      <c r="AB59" s="296"/>
      <c r="AC59" s="1325"/>
      <c r="AD59" s="1325"/>
      <c r="AE59" s="1325"/>
      <c r="AF59" s="1325"/>
      <c r="AG59" s="296"/>
      <c r="AH59" s="296"/>
      <c r="AI59" s="296"/>
      <c r="AJ59" s="296"/>
      <c r="AK59" s="296"/>
      <c r="AL59" s="296"/>
      <c r="AM59" s="296"/>
      <c r="AN59" s="296"/>
      <c r="AO59" s="296"/>
      <c r="AP59" s="250"/>
      <c r="AQ59" s="4756"/>
      <c r="AS59" s="427"/>
      <c r="AT59" s="427" t="str">
        <f t="shared" si="2"/>
        <v>Добавить вид теплоносителя (параметры теплоносителя)</v>
      </c>
      <c r="AU59" s="427"/>
      <c r="AV59" s="427"/>
    </row>
    <row r="60" spans="1:48" ht="11.25" customHeight="1">
      <c r="A60" s="1187" t="s">
        <v>233</v>
      </c>
      <c r="B60" s="1187" t="s">
        <v>234</v>
      </c>
      <c r="C60" s="1187" t="s">
        <v>235</v>
      </c>
      <c r="D60" s="1187" t="s">
        <v>236</v>
      </c>
      <c r="E60" s="4790"/>
      <c r="F60" s="4790"/>
      <c r="G60" s="4790"/>
      <c r="H60" s="4790"/>
      <c r="I60" s="4627"/>
      <c r="J60" s="1187"/>
      <c r="K60" s="1187"/>
      <c r="L60" s="1187"/>
      <c r="M60" s="1229"/>
      <c r="Q60" s="4758"/>
      <c r="R60" s="1249"/>
      <c r="S60" s="1249"/>
      <c r="T60" s="282"/>
      <c r="U60" s="1199"/>
      <c r="V60" s="293" t="s">
        <v>553</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7" t="s">
        <v>233</v>
      </c>
      <c r="B61" s="1187" t="s">
        <v>234</v>
      </c>
      <c r="C61" s="1187" t="s">
        <v>235</v>
      </c>
      <c r="D61" s="1187" t="s">
        <v>236</v>
      </c>
      <c r="E61" s="4790"/>
      <c r="F61" s="4790"/>
      <c r="G61" s="4790"/>
      <c r="H61" s="4789"/>
      <c r="I61" s="1187"/>
      <c r="J61" s="1187"/>
      <c r="K61" s="1187"/>
      <c r="L61" s="1187"/>
      <c r="M61" s="1229"/>
      <c r="N61" s="609"/>
      <c r="O61" s="609"/>
      <c r="P61" s="436"/>
      <c r="Q61" s="286"/>
      <c r="R61" s="305"/>
      <c r="S61" s="281"/>
      <c r="T61" s="28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27"/>
      <c r="AT61" s="427" t="str">
        <f t="shared" si="2"/>
        <v/>
      </c>
      <c r="AU61" s="427"/>
      <c r="AV61" s="427"/>
    </row>
    <row r="62" spans="1:48" s="1946" customFormat="1" ht="0" hidden="1" customHeight="1">
      <c r="A62" s="1292" t="s">
        <v>233</v>
      </c>
      <c r="B62" s="1292" t="s">
        <v>234</v>
      </c>
      <c r="C62" s="1292" t="s">
        <v>235</v>
      </c>
      <c r="D62" s="1291"/>
      <c r="E62" s="4790"/>
      <c r="F62" s="4790"/>
      <c r="G62" s="4789"/>
      <c r="H62" s="1291"/>
      <c r="I62" s="1291"/>
      <c r="J62" s="1291"/>
      <c r="K62" s="1291"/>
      <c r="L62" s="1291"/>
      <c r="M62" s="1294"/>
      <c r="N62" s="1295"/>
      <c r="O62" s="1295"/>
      <c r="P62" s="277"/>
      <c r="Q62" s="1235"/>
      <c r="R62" s="1236"/>
      <c r="S62" s="1235"/>
      <c r="T62" s="1235"/>
      <c r="U62" s="1241"/>
      <c r="V62" s="1244" t="s">
        <v>555</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07"/>
      <c r="AT62" s="707" t="str">
        <f t="shared" si="2"/>
        <v>Добавить источник для дифференциации</v>
      </c>
      <c r="AU62" s="707"/>
      <c r="AV62" s="707"/>
    </row>
    <row r="63" spans="1:48" s="1946" customFormat="1" ht="0" hidden="1" customHeight="1">
      <c r="A63" s="1292" t="s">
        <v>233</v>
      </c>
      <c r="B63" s="1292" t="s">
        <v>234</v>
      </c>
      <c r="C63" s="1291"/>
      <c r="D63" s="1291"/>
      <c r="E63" s="4790"/>
      <c r="F63" s="4789"/>
      <c r="G63" s="1291"/>
      <c r="H63" s="1291"/>
      <c r="I63" s="1291"/>
      <c r="J63" s="1291"/>
      <c r="K63" s="1291"/>
      <c r="L63" s="1291"/>
      <c r="M63" s="1294"/>
      <c r="N63" s="1296"/>
      <c r="O63" s="1296"/>
      <c r="P63" s="277"/>
      <c r="Q63" s="1235"/>
      <c r="R63" s="1236"/>
      <c r="S63" s="1235"/>
      <c r="T63" s="1235"/>
      <c r="U63" s="1241"/>
      <c r="V63" s="1244" t="s">
        <v>316</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07"/>
      <c r="AT63" s="707" t="str">
        <f t="shared" si="2"/>
        <v>Добавить централизованную систему для дифференциации</v>
      </c>
      <c r="AU63" s="707"/>
      <c r="AV63" s="707"/>
    </row>
    <row r="64" spans="1:48" s="1821" customFormat="1" ht="0" hidden="1" customHeight="1">
      <c r="A64" s="1292" t="s">
        <v>233</v>
      </c>
      <c r="B64" s="1292"/>
      <c r="C64" s="1292"/>
      <c r="D64" s="1292"/>
      <c r="E64" s="4789"/>
      <c r="F64" s="1292"/>
      <c r="G64" s="1292"/>
      <c r="H64" s="1292"/>
      <c r="I64" s="1292"/>
      <c r="J64" s="1292"/>
      <c r="K64" s="1292"/>
      <c r="L64" s="1292"/>
      <c r="M64" s="1298"/>
      <c r="N64" s="1296"/>
      <c r="O64" s="1296"/>
      <c r="P64" s="277"/>
      <c r="Q64" s="314"/>
      <c r="R64" s="1262"/>
      <c r="S64" s="314"/>
      <c r="T64" s="314"/>
      <c r="U64" s="1241"/>
      <c r="V64" s="1244" t="s">
        <v>317</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27"/>
      <c r="AT64" s="427" t="str">
        <f t="shared" si="2"/>
        <v>Добавить территорию для дифференциации</v>
      </c>
      <c r="AU64" s="427"/>
      <c r="AV64" s="427"/>
    </row>
    <row r="65" spans="1:48" s="1946" customFormat="1" ht="5.25" customHeight="1">
      <c r="A65" s="1291"/>
      <c r="B65" s="1291"/>
      <c r="C65" s="1291"/>
      <c r="D65" s="1291"/>
      <c r="E65" s="1292"/>
      <c r="F65" s="1291"/>
      <c r="G65" s="1291"/>
      <c r="H65" s="1291"/>
      <c r="I65" s="1291"/>
      <c r="J65" s="1291"/>
      <c r="K65" s="1291"/>
      <c r="L65" s="1291"/>
      <c r="M65" s="1294"/>
      <c r="N65" s="1296"/>
      <c r="O65" s="1296"/>
      <c r="P65" s="277"/>
      <c r="Q65" s="1235"/>
      <c r="R65" s="1236"/>
      <c r="S65" s="1235"/>
      <c r="T65" s="1235"/>
      <c r="U65" s="1241"/>
      <c r="V65" s="1244" t="s">
        <v>407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07"/>
      <c r="AT65" s="707" t="str">
        <f t="shared" si="2"/>
        <v>Добавить наименование тарифа</v>
      </c>
      <c r="AU65" s="707"/>
      <c r="AV65" s="707"/>
    </row>
    <row r="66" spans="1:48" ht="11.25" customHeight="1">
      <c r="N66" s="1056"/>
      <c r="O66" s="1056"/>
      <c r="P66" s="436"/>
      <c r="Q66" s="1056"/>
      <c r="R66" s="1056"/>
      <c r="S66" s="1056"/>
      <c r="T66" s="1056"/>
      <c r="U66" s="1056"/>
      <c r="AR66" s="1056"/>
      <c r="AS66" s="1056"/>
      <c r="AT66" s="1056"/>
      <c r="AU66" s="1056"/>
      <c r="AV66" s="1056"/>
    </row>
    <row r="67" spans="1:48" ht="33.75" customHeight="1">
      <c r="P67" s="436"/>
      <c r="U67" s="1165"/>
      <c r="V67" s="4779"/>
      <c r="W67" s="4779"/>
      <c r="X67" s="4779"/>
      <c r="Y67" s="4779"/>
      <c r="Z67" s="4779"/>
      <c r="AA67" s="4779"/>
      <c r="AB67" s="4779"/>
      <c r="AC67" s="4779"/>
      <c r="AD67" s="4779"/>
      <c r="AE67" s="4779"/>
      <c r="AF67" s="4779"/>
      <c r="AG67" s="4779"/>
      <c r="AH67" s="4779"/>
      <c r="AI67" s="4779"/>
      <c r="AJ67" s="4779"/>
      <c r="AK67" s="4779"/>
      <c r="AL67" s="4779"/>
      <c r="AM67" s="4779"/>
      <c r="AN67" s="4779"/>
      <c r="AO67" s="4779"/>
      <c r="AP67" s="4779"/>
      <c r="AQ67" s="4779"/>
    </row>
    <row r="68" spans="1:48" ht="19.5" customHeight="1">
      <c r="P68" s="436"/>
      <c r="V68" s="4779"/>
      <c r="W68" s="4779"/>
      <c r="X68" s="4779"/>
      <c r="Y68" s="4779"/>
      <c r="Z68" s="4779"/>
      <c r="AA68" s="4779"/>
      <c r="AB68" s="4779"/>
      <c r="AC68" s="4779"/>
      <c r="AD68" s="4779"/>
      <c r="AE68" s="4779"/>
      <c r="AF68" s="4779"/>
      <c r="AG68" s="4779"/>
      <c r="AH68" s="4779"/>
      <c r="AI68" s="4779"/>
      <c r="AJ68" s="4779"/>
      <c r="AK68" s="4779"/>
      <c r="AL68" s="4779"/>
      <c r="AM68" s="4779"/>
      <c r="AN68" s="4779"/>
      <c r="AO68" s="4779"/>
      <c r="AP68" s="4779"/>
      <c r="AQ68" s="4779"/>
    </row>
    <row r="69" spans="1:48" ht="14.25" customHeight="1">
      <c r="P69" s="436"/>
    </row>
    <row r="70" spans="1:48" ht="27" customHeight="1">
      <c r="P70" s="436"/>
      <c r="V70" s="4779"/>
      <c r="W70" s="4779"/>
      <c r="X70" s="4779"/>
      <c r="Y70" s="4779"/>
      <c r="Z70" s="4779"/>
      <c r="AA70" s="4779"/>
      <c r="AB70" s="4779"/>
      <c r="AC70" s="4779"/>
      <c r="AD70" s="4779"/>
      <c r="AE70" s="4779"/>
      <c r="AF70" s="4779"/>
      <c r="AG70" s="4779"/>
      <c r="AH70" s="4779"/>
      <c r="AI70" s="4779"/>
      <c r="AJ70" s="4779"/>
      <c r="AK70" s="4779"/>
      <c r="AL70" s="4779"/>
      <c r="AM70" s="4779"/>
      <c r="AN70" s="4779"/>
      <c r="AO70" s="4779"/>
      <c r="AP70" s="4779"/>
      <c r="AQ70" s="4779"/>
    </row>
    <row r="71" spans="1:48" ht="18" customHeight="1">
      <c r="P71" s="436"/>
      <c r="V71" s="4779"/>
      <c r="W71" s="4779"/>
      <c r="X71" s="4779"/>
      <c r="Y71" s="4779"/>
      <c r="Z71" s="4779"/>
      <c r="AA71" s="4779"/>
      <c r="AB71" s="4779"/>
      <c r="AC71" s="4779"/>
      <c r="AD71" s="4779"/>
      <c r="AE71" s="4779"/>
      <c r="AF71" s="4779"/>
      <c r="AG71" s="4779"/>
      <c r="AH71" s="4779"/>
      <c r="AI71" s="4779"/>
      <c r="AJ71" s="4779"/>
      <c r="AK71" s="4779"/>
      <c r="AL71" s="4779"/>
      <c r="AM71" s="4779"/>
      <c r="AN71" s="4779"/>
      <c r="AO71" s="4779"/>
      <c r="AP71" s="4779"/>
      <c r="AQ71" s="4779"/>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47" hidden="1" customWidth="1"/>
    <col min="13" max="14" width="12.28515625" style="1948" hidden="1" customWidth="1"/>
    <col min="15" max="15" width="23.42578125" style="1948" hidden="1" customWidth="1"/>
    <col min="16" max="16" width="3.7109375" style="1948" hidden="1" customWidth="1"/>
    <col min="17" max="17" width="3.7109375" style="1949" hidden="1" customWidth="1"/>
    <col min="18" max="18" width="3.7109375" style="1954" customWidth="1"/>
    <col min="19" max="19" width="12.7109375" style="1955" customWidth="1"/>
    <col min="20" max="20" width="32" style="1921" customWidth="1"/>
    <col min="21" max="21" width="0.140625" style="1921" customWidth="1"/>
    <col min="22" max="23" width="21.7109375" style="1921" hidden="1" customWidth="1"/>
    <col min="24" max="24" width="11.7109375" style="1921" hidden="1" customWidth="1"/>
    <col min="25" max="25" width="3.7109375" style="1921" hidden="1" customWidth="1"/>
    <col min="26" max="26" width="11.7109375" style="1921" hidden="1" customWidth="1"/>
    <col min="27" max="27" width="8.5703125" style="1921" hidden="1" customWidth="1"/>
    <col min="28" max="28" width="5.42578125" style="1921" customWidth="1"/>
    <col min="29" max="30" width="3.7109375" style="1921" customWidth="1"/>
    <col min="31" max="31" width="24.7109375" style="1921" customWidth="1"/>
    <col min="32" max="34" width="3.7109375" style="1921" customWidth="1"/>
    <col min="35" max="35" width="24.7109375" style="1921" customWidth="1"/>
    <col min="36" max="38" width="3.7109375" style="1921" customWidth="1"/>
    <col min="39" max="39" width="18.85546875" style="1921" customWidth="1"/>
    <col min="40" max="41" width="21.7109375" style="1921" customWidth="1"/>
    <col min="42" max="42" width="11.7109375" style="1921" customWidth="1"/>
    <col min="43" max="43" width="3.7109375" style="1921" customWidth="1"/>
    <col min="44" max="44" width="11.7109375" style="1921" customWidth="1"/>
    <col min="45" max="45" width="8.5703125" style="1921" customWidth="1"/>
    <col min="46" max="46" width="4.7109375" style="1921" customWidth="1"/>
    <col min="47" max="47" width="115.7109375" style="1921" customWidth="1"/>
    <col min="48" max="49" width="10.5703125" style="1821"/>
    <col min="50" max="50" width="11.140625" style="1821" customWidth="1"/>
    <col min="51" max="52" width="10.5703125" style="1821"/>
  </cols>
  <sheetData>
    <row r="1" spans="1:52" ht="14.25" hidden="1" customHeight="1">
      <c r="W1" s="254"/>
      <c r="X1" s="254"/>
      <c r="AO1" s="254"/>
      <c r="AP1" s="254"/>
    </row>
    <row r="2" spans="1:52" ht="21" hidden="1" customHeight="1">
      <c r="A2" s="1280"/>
      <c r="B2" s="1280"/>
      <c r="C2" s="1280"/>
      <c r="D2" s="1280"/>
      <c r="E2" s="4759">
        <v>1</v>
      </c>
      <c r="F2" s="1280"/>
      <c r="G2" s="1280"/>
      <c r="H2" s="1280"/>
      <c r="I2" s="1280"/>
      <c r="J2" s="1280"/>
      <c r="K2" s="1280"/>
      <c r="L2" s="1281"/>
      <c r="M2" s="1282"/>
      <c r="N2" s="1282"/>
      <c r="O2" s="1282"/>
      <c r="P2" s="1326"/>
      <c r="Q2" s="787"/>
      <c r="R2" s="281"/>
      <c r="S2" s="1254" t="e">
        <f>INDEX(PT_DIFFERENTIATION_NUM_NTAR,MATCH(A2,PT_DIFFERENTIATION_NTAR_ID,0))</f>
        <v>#N/A</v>
      </c>
      <c r="T2" s="217" t="s">
        <v>185</v>
      </c>
      <c r="U2" s="219"/>
      <c r="V2" s="4746"/>
      <c r="W2" s="4746"/>
      <c r="X2" s="4746"/>
      <c r="Y2" s="4746"/>
      <c r="Z2" s="4746"/>
      <c r="AA2" s="4747"/>
      <c r="AB2" s="4745" t="e">
        <f>INDEX(PT_DIFFERENTIATION_NTAR,MATCH(A2,PT_DIFFERENTIATION_NTAR_ID,0))</f>
        <v>#N/A</v>
      </c>
      <c r="AC2" s="4746"/>
      <c r="AD2" s="4746"/>
      <c r="AE2" s="4746"/>
      <c r="AF2" s="4746"/>
      <c r="AG2" s="4746"/>
      <c r="AH2" s="4746"/>
      <c r="AI2" s="4746"/>
      <c r="AJ2" s="4746"/>
      <c r="AK2" s="4746"/>
      <c r="AL2" s="4746"/>
      <c r="AM2" s="4746"/>
      <c r="AN2" s="4746"/>
      <c r="AO2" s="4746"/>
      <c r="AP2" s="4746"/>
      <c r="AQ2" s="4746"/>
      <c r="AR2" s="4746"/>
      <c r="AS2" s="4746"/>
      <c r="AT2" s="4747"/>
      <c r="AU2" s="1178" t="s">
        <v>537</v>
      </c>
      <c r="AW2" s="427"/>
      <c r="AX2" s="427" t="str">
        <f t="shared" ref="AX2:AX8" si="0">IF(T2="","",T2)</f>
        <v>Наименование тарифа</v>
      </c>
      <c r="AY2" s="427"/>
      <c r="AZ2" s="427"/>
    </row>
    <row r="3" spans="1:52" ht="21" hidden="1" customHeight="1">
      <c r="A3" s="1280"/>
      <c r="B3" s="1280"/>
      <c r="C3" s="1280"/>
      <c r="D3" s="1280"/>
      <c r="E3" s="4760"/>
      <c r="F3" s="4759">
        <v>1</v>
      </c>
      <c r="G3" s="1280"/>
      <c r="H3" s="1280"/>
      <c r="I3" s="1280"/>
      <c r="J3" s="1280"/>
      <c r="K3" s="1280"/>
      <c r="L3" s="1281"/>
      <c r="M3" s="1282"/>
      <c r="N3" s="1282"/>
      <c r="O3" s="1282"/>
      <c r="P3" s="1327"/>
      <c r="Q3" s="1328"/>
      <c r="R3" s="279"/>
      <c r="S3" s="1254" t="e">
        <f>INDEX(PT_DIFFERENTIATION_NUM_TER,MATCH(B3,PT_DIFFERENTIATION_TER_ID,0))</f>
        <v>#N/A</v>
      </c>
      <c r="T3" s="229" t="s">
        <v>538</v>
      </c>
      <c r="U3" s="219"/>
      <c r="V3" s="4746"/>
      <c r="W3" s="4746"/>
      <c r="X3" s="4746"/>
      <c r="Y3" s="4746"/>
      <c r="Z3" s="4746"/>
      <c r="AA3" s="4747"/>
      <c r="AB3" s="4745" t="e">
        <f>INDEX(PT_DIFFERENTIATION_TER,MATCH(B3,PT_DIFFERENTIATION_TER_ID,0))</f>
        <v>#N/A</v>
      </c>
      <c r="AC3" s="4746"/>
      <c r="AD3" s="4746"/>
      <c r="AE3" s="4746"/>
      <c r="AF3" s="4746"/>
      <c r="AG3" s="4746"/>
      <c r="AH3" s="4746"/>
      <c r="AI3" s="4746"/>
      <c r="AJ3" s="4746"/>
      <c r="AK3" s="4746"/>
      <c r="AL3" s="4746"/>
      <c r="AM3" s="4746"/>
      <c r="AN3" s="4746"/>
      <c r="AO3" s="4746"/>
      <c r="AP3" s="4746"/>
      <c r="AQ3" s="4746"/>
      <c r="AR3" s="4746"/>
      <c r="AS3" s="4746"/>
      <c r="AT3" s="4747"/>
      <c r="AU3" s="1178" t="s">
        <v>539</v>
      </c>
      <c r="AW3" s="427"/>
      <c r="AX3" s="427" t="str">
        <f t="shared" si="0"/>
        <v>Территория действия тарифа</v>
      </c>
      <c r="AY3" s="427"/>
      <c r="AZ3" s="427"/>
    </row>
    <row r="4" spans="1:52" ht="22.5" hidden="1" customHeight="1">
      <c r="A4" s="1280"/>
      <c r="B4" s="1280"/>
      <c r="C4" s="1280"/>
      <c r="D4" s="1280"/>
      <c r="E4" s="4760"/>
      <c r="F4" s="4760"/>
      <c r="G4" s="4759">
        <v>1</v>
      </c>
      <c r="H4" s="1280"/>
      <c r="I4" s="1280"/>
      <c r="J4" s="1280"/>
      <c r="K4" s="1280"/>
      <c r="L4" s="1281"/>
      <c r="M4" s="1282"/>
      <c r="N4" s="1282"/>
      <c r="O4" s="1282"/>
      <c r="P4" s="1329"/>
      <c r="Q4" s="1328"/>
      <c r="R4" s="279"/>
      <c r="S4" s="1254" t="e">
        <f>INDEX(PT_DIFFERENTIATION_NUM_CS,MATCH(C4,PT_DIFFERENTIATION_CS_ID,0))</f>
        <v>#N/A</v>
      </c>
      <c r="T4" s="230" t="s">
        <v>540</v>
      </c>
      <c r="U4" s="219"/>
      <c r="V4" s="4746"/>
      <c r="W4" s="4746"/>
      <c r="X4" s="4746"/>
      <c r="Y4" s="4746"/>
      <c r="Z4" s="4746"/>
      <c r="AA4" s="4747"/>
      <c r="AB4" s="4745" t="e">
        <f>INDEX(PT_DIFFERENTIATION_CS,MATCH(C4,PT_DIFFERENTIATION_CS_ID,0))</f>
        <v>#N/A</v>
      </c>
      <c r="AC4" s="4746"/>
      <c r="AD4" s="4746"/>
      <c r="AE4" s="4746"/>
      <c r="AF4" s="4746"/>
      <c r="AG4" s="4746"/>
      <c r="AH4" s="4746"/>
      <c r="AI4" s="4746"/>
      <c r="AJ4" s="4746"/>
      <c r="AK4" s="4746"/>
      <c r="AL4" s="4746"/>
      <c r="AM4" s="4746"/>
      <c r="AN4" s="4746"/>
      <c r="AO4" s="4746"/>
      <c r="AP4" s="4746"/>
      <c r="AQ4" s="4746"/>
      <c r="AR4" s="4746"/>
      <c r="AS4" s="4746"/>
      <c r="AT4" s="4747"/>
      <c r="AU4" s="1178" t="s">
        <v>541</v>
      </c>
      <c r="AW4" s="427"/>
      <c r="AX4" s="427" t="str">
        <f t="shared" si="0"/>
        <v xml:space="preserve">Наименование системы теплоснабжения </v>
      </c>
      <c r="AY4" s="427"/>
      <c r="AZ4" s="427"/>
    </row>
    <row r="5" spans="1:52" ht="21" hidden="1" customHeight="1">
      <c r="A5" s="1280"/>
      <c r="B5" s="1280"/>
      <c r="C5" s="1280"/>
      <c r="D5" s="1280"/>
      <c r="E5" s="4760"/>
      <c r="F5" s="4760"/>
      <c r="G5" s="4760"/>
      <c r="H5" s="4759">
        <v>1</v>
      </c>
      <c r="I5" s="1280"/>
      <c r="J5" s="1280"/>
      <c r="K5" s="1280"/>
      <c r="L5" s="1281"/>
      <c r="M5" s="1282"/>
      <c r="N5" s="1282"/>
      <c r="O5" s="1282"/>
      <c r="P5" s="1329"/>
      <c r="Q5" s="1328"/>
      <c r="R5" s="279"/>
      <c r="S5" s="1254" t="e">
        <f>INDEX(PT_DIFFERENTIATION_NUM_IST_TE,MATCH(D5,PT_DIFFERENTIATION_IST_TE_ID,0))</f>
        <v>#N/A</v>
      </c>
      <c r="T5" s="231" t="s">
        <v>542</v>
      </c>
      <c r="U5" s="219"/>
      <c r="V5" s="4746"/>
      <c r="W5" s="4746"/>
      <c r="X5" s="4746"/>
      <c r="Y5" s="4746"/>
      <c r="Z5" s="4746"/>
      <c r="AA5" s="4747"/>
      <c r="AB5" s="4745" t="e">
        <f>INDEX(PT_DIFFERENTIATION_IST_TE,MATCH(D5,PT_DIFFERENTIATION_IST_TE_ID,0))</f>
        <v>#N/A</v>
      </c>
      <c r="AC5" s="4746"/>
      <c r="AD5" s="4746"/>
      <c r="AE5" s="4746"/>
      <c r="AF5" s="4746"/>
      <c r="AG5" s="4746"/>
      <c r="AH5" s="4746"/>
      <c r="AI5" s="4746"/>
      <c r="AJ5" s="4746"/>
      <c r="AK5" s="4746"/>
      <c r="AL5" s="4746"/>
      <c r="AM5" s="4746"/>
      <c r="AN5" s="4746"/>
      <c r="AO5" s="4746"/>
      <c r="AP5" s="4746"/>
      <c r="AQ5" s="4746"/>
      <c r="AR5" s="4746"/>
      <c r="AS5" s="4746"/>
      <c r="AT5" s="4747"/>
      <c r="AU5" s="1178" t="s">
        <v>543</v>
      </c>
      <c r="AW5" s="427"/>
      <c r="AX5" s="427" t="str">
        <f t="shared" si="0"/>
        <v xml:space="preserve">Источник тепловой энергии  </v>
      </c>
      <c r="AY5" s="427"/>
      <c r="AZ5" s="427"/>
    </row>
    <row r="6" spans="1:52" s="1821" customFormat="1" ht="14.25" hidden="1" customHeight="1">
      <c r="A6" s="1261"/>
      <c r="B6" s="1261"/>
      <c r="C6" s="1261"/>
      <c r="D6" s="1261"/>
      <c r="E6" s="4760"/>
      <c r="F6" s="4760"/>
      <c r="G6" s="4760"/>
      <c r="H6" s="4760"/>
      <c r="I6" s="4757" t="e">
        <f>S5&amp;".1"</f>
        <v>#N/A</v>
      </c>
      <c r="J6" s="1261"/>
      <c r="K6" s="1261"/>
      <c r="L6" s="1264" t="s">
        <v>544</v>
      </c>
      <c r="M6" s="437"/>
      <c r="N6" s="437"/>
      <c r="O6" s="437"/>
      <c r="P6" s="4758">
        <v>1</v>
      </c>
      <c r="Q6" s="1249"/>
      <c r="R6" s="282"/>
      <c r="S6" s="950"/>
      <c r="T6" s="1300"/>
      <c r="U6" s="1301"/>
      <c r="V6" s="4787"/>
      <c r="W6" s="4787"/>
      <c r="X6" s="4787"/>
      <c r="Y6" s="4787"/>
      <c r="Z6" s="4787"/>
      <c r="AA6" s="4788"/>
      <c r="AB6" s="4786"/>
      <c r="AC6" s="4787"/>
      <c r="AD6" s="4787"/>
      <c r="AE6" s="4787"/>
      <c r="AF6" s="4787"/>
      <c r="AG6" s="4787"/>
      <c r="AH6" s="4787"/>
      <c r="AI6" s="4787"/>
      <c r="AJ6" s="4787"/>
      <c r="AK6" s="4787"/>
      <c r="AL6" s="4787"/>
      <c r="AM6" s="4787"/>
      <c r="AN6" s="4787"/>
      <c r="AO6" s="4787"/>
      <c r="AP6" s="4787"/>
      <c r="AQ6" s="4787"/>
      <c r="AR6" s="4787"/>
      <c r="AS6" s="4787"/>
      <c r="AT6" s="4788"/>
      <c r="AU6" s="1302"/>
      <c r="AW6" s="427"/>
      <c r="AX6" s="427" t="str">
        <f t="shared" si="0"/>
        <v/>
      </c>
      <c r="AY6" s="427"/>
      <c r="AZ6" s="427"/>
    </row>
    <row r="7" spans="1:52" s="1821" customFormat="1" ht="14.25" hidden="1" customHeight="1">
      <c r="A7" s="1261"/>
      <c r="B7" s="1261"/>
      <c r="C7" s="1261"/>
      <c r="D7" s="1261"/>
      <c r="E7" s="4760"/>
      <c r="F7" s="4760"/>
      <c r="G7" s="4760"/>
      <c r="H7" s="4760"/>
      <c r="I7" s="4780"/>
      <c r="J7" s="4757" t="e">
        <f>S5&amp;".1"</f>
        <v>#N/A</v>
      </c>
      <c r="K7" s="1261"/>
      <c r="L7" s="1264"/>
      <c r="M7" s="437"/>
      <c r="N7" s="437"/>
      <c r="O7" s="437"/>
      <c r="P7" s="4758"/>
      <c r="Q7" s="4758">
        <v>1</v>
      </c>
      <c r="R7" s="283"/>
      <c r="S7" s="950"/>
      <c r="T7" s="1316"/>
      <c r="U7" s="1301"/>
      <c r="V7" s="4787"/>
      <c r="W7" s="4787"/>
      <c r="X7" s="4787"/>
      <c r="Y7" s="4787"/>
      <c r="Z7" s="4787"/>
      <c r="AA7" s="4788"/>
      <c r="AB7" s="4786"/>
      <c r="AC7" s="4787"/>
      <c r="AD7" s="4787"/>
      <c r="AE7" s="4787"/>
      <c r="AF7" s="4787"/>
      <c r="AG7" s="4787"/>
      <c r="AH7" s="4787"/>
      <c r="AI7" s="4787"/>
      <c r="AJ7" s="4787"/>
      <c r="AK7" s="4787"/>
      <c r="AL7" s="4787"/>
      <c r="AM7" s="4787"/>
      <c r="AN7" s="4787"/>
      <c r="AO7" s="4787"/>
      <c r="AP7" s="4787"/>
      <c r="AQ7" s="4787"/>
      <c r="AR7" s="4787"/>
      <c r="AS7" s="4787"/>
      <c r="AT7" s="4788"/>
      <c r="AU7" s="1302"/>
      <c r="AW7" s="427"/>
      <c r="AX7" s="427" t="str">
        <f t="shared" si="0"/>
        <v/>
      </c>
      <c r="AY7" s="427"/>
      <c r="AZ7" s="427"/>
    </row>
    <row r="8" spans="1:52" ht="21" hidden="1" customHeight="1">
      <c r="A8" s="1280"/>
      <c r="B8" s="1280"/>
      <c r="C8" s="1280"/>
      <c r="D8" s="1280"/>
      <c r="E8" s="4760"/>
      <c r="F8" s="4760"/>
      <c r="G8" s="4760"/>
      <c r="H8" s="4760"/>
      <c r="I8" s="4780"/>
      <c r="J8" s="4780"/>
      <c r="K8" s="4757" t="e">
        <f>S5&amp;".1"</f>
        <v>#N/A</v>
      </c>
      <c r="L8" s="1281"/>
      <c r="P8" s="4758"/>
      <c r="Q8" s="4758"/>
      <c r="R8" s="4815">
        <v>1</v>
      </c>
      <c r="S8" s="4809" t="e">
        <f>$K8</f>
        <v>#N/A</v>
      </c>
      <c r="T8" s="4812"/>
      <c r="U8" s="219"/>
      <c r="V8" s="669"/>
      <c r="W8" s="1177"/>
      <c r="X8" s="4762"/>
      <c r="Y8" s="4608" t="s">
        <v>65</v>
      </c>
      <c r="Z8" s="4762"/>
      <c r="AA8" s="4608" t="s">
        <v>65</v>
      </c>
      <c r="AB8" s="4608" t="s">
        <v>55</v>
      </c>
      <c r="AC8" s="4795"/>
      <c r="AD8" s="4714">
        <v>1</v>
      </c>
      <c r="AE8" s="4796"/>
      <c r="AF8" s="4608" t="s">
        <v>55</v>
      </c>
      <c r="AG8" s="4795"/>
      <c r="AH8" s="4714">
        <v>1</v>
      </c>
      <c r="AI8" s="4796"/>
      <c r="AJ8" s="4608" t="s">
        <v>55</v>
      </c>
      <c r="AK8" s="232"/>
      <c r="AL8" s="1255">
        <v>1</v>
      </c>
      <c r="AM8" s="1315"/>
      <c r="AN8" s="669"/>
      <c r="AO8" s="1177"/>
      <c r="AP8" s="1645"/>
      <c r="AQ8" s="1373" t="s">
        <v>65</v>
      </c>
      <c r="AR8" s="1645"/>
      <c r="AS8" s="1373" t="s">
        <v>65</v>
      </c>
      <c r="AT8" s="1266"/>
      <c r="AU8" s="4754" t="s">
        <v>601</v>
      </c>
      <c r="AV8" s="438" t="e">
        <f ca="1">STRCHECKDATE(V11:AT11)</f>
        <v>#NAME?</v>
      </c>
      <c r="AW8" s="427"/>
      <c r="AX8" s="427" t="str">
        <f t="shared" si="0"/>
        <v/>
      </c>
      <c r="AY8" s="427"/>
      <c r="AZ8" s="427"/>
    </row>
    <row r="9" spans="1:52" ht="11.25" hidden="1" customHeight="1">
      <c r="A9" s="1280"/>
      <c r="B9" s="1280"/>
      <c r="C9" s="1280"/>
      <c r="D9" s="1280"/>
      <c r="E9" s="4760"/>
      <c r="F9" s="4760"/>
      <c r="G9" s="4760"/>
      <c r="H9" s="4760"/>
      <c r="I9" s="4780"/>
      <c r="J9" s="4780"/>
      <c r="K9" s="4757"/>
      <c r="L9" s="1281"/>
      <c r="P9" s="4758"/>
      <c r="Q9" s="4758"/>
      <c r="R9" s="4815"/>
      <c r="S9" s="4810"/>
      <c r="T9" s="4813"/>
      <c r="U9" s="219"/>
      <c r="V9" s="1310"/>
      <c r="W9" s="1314"/>
      <c r="X9" s="4762"/>
      <c r="Y9" s="4608"/>
      <c r="Z9" s="4762"/>
      <c r="AA9" s="4608"/>
      <c r="AB9" s="4608"/>
      <c r="AC9" s="4795"/>
      <c r="AD9" s="4714"/>
      <c r="AE9" s="4796"/>
      <c r="AF9" s="4608"/>
      <c r="AG9" s="4795"/>
      <c r="AH9" s="4714"/>
      <c r="AI9" s="4796"/>
      <c r="AJ9" s="4608"/>
      <c r="AK9" s="239"/>
      <c r="AL9" s="351"/>
      <c r="AM9" s="350" t="s">
        <v>602</v>
      </c>
      <c r="AN9" s="1310"/>
      <c r="AO9" s="1407"/>
      <c r="AP9" s="1310"/>
      <c r="AQ9" s="1310"/>
      <c r="AR9" s="1310"/>
      <c r="AS9" s="1310"/>
      <c r="AT9" s="1307"/>
      <c r="AU9" s="4755"/>
      <c r="AW9" s="427"/>
      <c r="AX9" s="427"/>
      <c r="AY9" s="427"/>
      <c r="AZ9" s="427"/>
    </row>
    <row r="10" spans="1:52" ht="11.25" hidden="1" customHeight="1">
      <c r="A10" s="1280"/>
      <c r="B10" s="1280"/>
      <c r="C10" s="1280"/>
      <c r="D10" s="1280"/>
      <c r="E10" s="4760"/>
      <c r="F10" s="4760"/>
      <c r="G10" s="4760"/>
      <c r="H10" s="4760"/>
      <c r="I10" s="4780"/>
      <c r="J10" s="4780"/>
      <c r="K10" s="4757"/>
      <c r="L10" s="1281"/>
      <c r="P10" s="4758"/>
      <c r="Q10" s="4758"/>
      <c r="R10" s="4815"/>
      <c r="S10" s="4810"/>
      <c r="T10" s="4813"/>
      <c r="U10" s="219"/>
      <c r="V10" s="1310"/>
      <c r="W10" s="1314"/>
      <c r="X10" s="4762"/>
      <c r="Y10" s="4608"/>
      <c r="Z10" s="4762"/>
      <c r="AA10" s="4608"/>
      <c r="AB10" s="4608"/>
      <c r="AC10" s="4795"/>
      <c r="AD10" s="4714"/>
      <c r="AE10" s="4796"/>
      <c r="AF10" s="4608"/>
      <c r="AG10" s="213"/>
      <c r="AH10" s="350"/>
      <c r="AI10" s="350" t="s">
        <v>603</v>
      </c>
      <c r="AJ10" s="1310"/>
      <c r="AK10" s="1310"/>
      <c r="AL10" s="1310"/>
      <c r="AM10" s="1310"/>
      <c r="AN10" s="1310"/>
      <c r="AO10" s="1407"/>
      <c r="AP10" s="1310"/>
      <c r="AQ10" s="1310"/>
      <c r="AR10" s="1310"/>
      <c r="AS10" s="1310"/>
      <c r="AT10" s="1307"/>
      <c r="AU10" s="4755"/>
      <c r="AW10" s="427"/>
      <c r="AX10" s="427"/>
      <c r="AY10" s="427"/>
      <c r="AZ10" s="427"/>
    </row>
    <row r="11" spans="1:52" ht="11.25" hidden="1" customHeight="1">
      <c r="A11" s="1280"/>
      <c r="B11" s="1280"/>
      <c r="C11" s="1280"/>
      <c r="D11" s="1280"/>
      <c r="E11" s="4760"/>
      <c r="F11" s="4760"/>
      <c r="G11" s="4760"/>
      <c r="H11" s="4760"/>
      <c r="I11" s="4780"/>
      <c r="J11" s="4780"/>
      <c r="K11" s="4757"/>
      <c r="L11" s="1281"/>
      <c r="P11" s="4758"/>
      <c r="Q11" s="4758"/>
      <c r="R11" s="4815"/>
      <c r="S11" s="4811"/>
      <c r="T11" s="4814"/>
      <c r="U11" s="219"/>
      <c r="V11" s="1310"/>
      <c r="W11" s="1313" t="str">
        <f>X8&amp;"-"&amp;Z8</f>
        <v>-</v>
      </c>
      <c r="X11" s="4763"/>
      <c r="Y11" s="4608"/>
      <c r="Z11" s="4763"/>
      <c r="AA11" s="4608"/>
      <c r="AB11" s="4608"/>
      <c r="AC11" s="233"/>
      <c r="AD11" s="235"/>
      <c r="AE11" s="350" t="s">
        <v>604</v>
      </c>
      <c r="AF11" s="1310"/>
      <c r="AG11" s="1310"/>
      <c r="AH11" s="1310"/>
      <c r="AI11" s="1310"/>
      <c r="AJ11" s="1310"/>
      <c r="AK11" s="1310"/>
      <c r="AL11" s="1310"/>
      <c r="AM11" s="1310"/>
      <c r="AN11" s="1310"/>
      <c r="AO11" s="1311" t="str">
        <f>AP8&amp;"-"&amp;AR8</f>
        <v>-</v>
      </c>
      <c r="AP11" s="1310"/>
      <c r="AQ11" s="1310"/>
      <c r="AR11" s="1310"/>
      <c r="AS11" s="1310"/>
      <c r="AT11" s="1267"/>
      <c r="AU11" s="4755"/>
      <c r="AW11" s="427"/>
      <c r="AX11" s="427" t="str">
        <f t="shared" ref="AX11:AX17" si="1">IF(T11="","",T11)</f>
        <v/>
      </c>
      <c r="AY11" s="427"/>
      <c r="AZ11" s="427"/>
    </row>
    <row r="12" spans="1:52" ht="11.25" hidden="1" customHeight="1">
      <c r="A12" s="1280"/>
      <c r="B12" s="1280"/>
      <c r="C12" s="1280"/>
      <c r="D12" s="1280"/>
      <c r="E12" s="4760"/>
      <c r="F12" s="4760"/>
      <c r="G12" s="4760"/>
      <c r="H12" s="4760"/>
      <c r="I12" s="4780"/>
      <c r="J12" s="4757"/>
      <c r="K12" s="1280"/>
      <c r="L12" s="1281"/>
      <c r="P12" s="4758"/>
      <c r="Q12" s="4758"/>
      <c r="R12" s="282"/>
      <c r="S12" s="1199"/>
      <c r="T12" s="206" t="s">
        <v>605</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4756"/>
      <c r="AW12" s="427"/>
      <c r="AX12" s="427" t="str">
        <f t="shared" si="1"/>
        <v>Добавить строку</v>
      </c>
      <c r="AY12" s="427"/>
      <c r="AZ12" s="427"/>
    </row>
    <row r="13" spans="1:52" s="1821" customFormat="1" ht="14.25" hidden="1" customHeight="1">
      <c r="A13" s="1261"/>
      <c r="B13" s="1261"/>
      <c r="C13" s="1261"/>
      <c r="D13" s="1261"/>
      <c r="E13" s="4760"/>
      <c r="F13" s="4760"/>
      <c r="G13" s="4760"/>
      <c r="H13" s="4760"/>
      <c r="I13" s="4757"/>
      <c r="J13" s="1261"/>
      <c r="K13" s="1261"/>
      <c r="L13" s="1264"/>
      <c r="M13" s="437"/>
      <c r="N13" s="437"/>
      <c r="O13" s="437"/>
      <c r="P13" s="4758"/>
      <c r="Q13" s="1249"/>
      <c r="R13" s="28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27"/>
      <c r="AX13" s="427" t="str">
        <f t="shared" si="1"/>
        <v/>
      </c>
      <c r="AY13" s="427"/>
      <c r="AZ13" s="427"/>
    </row>
    <row r="14" spans="1:52" s="1821" customFormat="1" ht="14.25" hidden="1" customHeight="1">
      <c r="A14" s="1261"/>
      <c r="B14" s="1261"/>
      <c r="C14" s="1261"/>
      <c r="D14" s="1261"/>
      <c r="E14" s="4760"/>
      <c r="F14" s="4760"/>
      <c r="G14" s="4760"/>
      <c r="H14" s="4759"/>
      <c r="I14" s="1261"/>
      <c r="J14" s="1261"/>
      <c r="K14" s="1261"/>
      <c r="L14" s="1264"/>
      <c r="M14" s="1234"/>
      <c r="N14" s="1234"/>
      <c r="O14" s="445"/>
      <c r="P14" s="314"/>
      <c r="Q14" s="1262"/>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27"/>
      <c r="AX14" s="427" t="str">
        <f t="shared" si="1"/>
        <v/>
      </c>
      <c r="AY14" s="427"/>
      <c r="AZ14" s="427"/>
    </row>
    <row r="15" spans="1:52" s="1946" customFormat="1" ht="14.25" hidden="1" customHeight="1">
      <c r="A15" s="1261"/>
      <c r="B15" s="1261"/>
      <c r="C15" s="1261"/>
      <c r="D15" s="1233"/>
      <c r="E15" s="4760"/>
      <c r="F15" s="4760"/>
      <c r="G15" s="4759"/>
      <c r="H15" s="1233"/>
      <c r="I15" s="1233"/>
      <c r="J15" s="1233"/>
      <c r="K15" s="1233"/>
      <c r="L15" s="1257"/>
      <c r="M15" s="1234"/>
      <c r="N15" s="1234"/>
      <c r="P15" s="1235"/>
      <c r="Q15" s="1236"/>
      <c r="R15" s="1235"/>
      <c r="S15" s="1241"/>
      <c r="T15" s="1244" t="s">
        <v>555</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07"/>
      <c r="AX15" s="707" t="str">
        <f t="shared" si="1"/>
        <v>Добавить источник для дифференциации</v>
      </c>
      <c r="AY15" s="707"/>
      <c r="AZ15" s="707"/>
    </row>
    <row r="16" spans="1:52" s="1946" customFormat="1" ht="14.25" hidden="1" customHeight="1">
      <c r="A16" s="1261"/>
      <c r="B16" s="1261"/>
      <c r="C16" s="1233"/>
      <c r="D16" s="1233"/>
      <c r="E16" s="4760"/>
      <c r="F16" s="4759"/>
      <c r="G16" s="1233"/>
      <c r="H16" s="1233"/>
      <c r="I16" s="1233"/>
      <c r="J16" s="1233"/>
      <c r="K16" s="1233"/>
      <c r="L16" s="1257"/>
      <c r="M16" s="1240"/>
      <c r="N16" s="1240"/>
      <c r="P16" s="1235"/>
      <c r="Q16" s="1236"/>
      <c r="R16" s="1235"/>
      <c r="S16" s="1241"/>
      <c r="T16" s="1244" t="s">
        <v>316</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07"/>
      <c r="AX16" s="707" t="str">
        <f t="shared" si="1"/>
        <v>Добавить централизованную систему для дифференциации</v>
      </c>
      <c r="AY16" s="707"/>
      <c r="AZ16" s="707"/>
    </row>
    <row r="17" spans="1:52" s="1821" customFormat="1" ht="14.25" hidden="1" customHeight="1">
      <c r="A17" s="1261"/>
      <c r="B17" s="1261"/>
      <c r="C17" s="1261"/>
      <c r="D17" s="1261"/>
      <c r="E17" s="4759"/>
      <c r="F17" s="1261"/>
      <c r="G17" s="1261"/>
      <c r="H17" s="1261"/>
      <c r="I17" s="1261"/>
      <c r="J17" s="1261"/>
      <c r="K17" s="1261"/>
      <c r="L17" s="1264"/>
      <c r="M17" s="1240"/>
      <c r="N17" s="1240"/>
      <c r="O17" s="445"/>
      <c r="P17" s="314"/>
      <c r="Q17" s="1262"/>
      <c r="R17" s="314"/>
      <c r="S17" s="1241"/>
      <c r="T17" s="1244" t="s">
        <v>317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3" t="s">
        <v>55</v>
      </c>
      <c r="AC19" s="1412"/>
      <c r="AD19" s="474">
        <v>1</v>
      </c>
      <c r="AE19" s="1413"/>
      <c r="AF19" s="1243" t="s">
        <v>55</v>
      </c>
      <c r="AG19" s="1412"/>
      <c r="AH19" s="474">
        <v>1</v>
      </c>
      <c r="AI19" s="1413"/>
      <c r="AJ19" s="1243" t="s">
        <v>55</v>
      </c>
      <c r="AK19" s="1414"/>
      <c r="AL19" s="474">
        <v>1</v>
      </c>
      <c r="AM19" s="1417"/>
      <c r="AN19" s="1320"/>
      <c r="AO19" s="1321"/>
      <c r="AP19" s="1647"/>
      <c r="AQ19" s="1374" t="s">
        <v>65</v>
      </c>
      <c r="AR19" s="1647"/>
      <c r="AS19" s="1374" t="s">
        <v>65</v>
      </c>
    </row>
    <row r="20" spans="1:52" ht="14.25" hidden="1" customHeight="1">
      <c r="AV20" s="423"/>
      <c r="AW20" s="423"/>
      <c r="AX20" s="423"/>
      <c r="AY20" s="423"/>
      <c r="AZ20" s="423"/>
    </row>
    <row r="21" spans="1:52" ht="14.25" hidden="1" customHeight="1">
      <c r="O21" s="1284" t="s">
        <v>556</v>
      </c>
      <c r="X21" s="1263"/>
      <c r="Z21" s="1263"/>
      <c r="AA21" s="254"/>
      <c r="AP21" s="1263"/>
      <c r="AR21" s="1263"/>
      <c r="AS21" s="254"/>
      <c r="AV21" s="423"/>
      <c r="AW21" s="423"/>
      <c r="AX21" s="423"/>
      <c r="AY21" s="423"/>
      <c r="AZ21" s="423"/>
    </row>
    <row r="22" spans="1:52" ht="14.25" hidden="1" customHeight="1">
      <c r="AA22" s="254"/>
      <c r="AS22" s="254"/>
      <c r="AV22" s="423"/>
      <c r="AW22" s="423"/>
      <c r="AX22" s="423"/>
      <c r="AY22" s="423"/>
      <c r="AZ22" s="423"/>
    </row>
    <row r="23" spans="1:52" s="1959" customFormat="1" ht="14.25" hidden="1" customHeight="1">
      <c r="M23" s="1419"/>
      <c r="N23" s="1419"/>
      <c r="O23" s="1420" t="s">
        <v>557</v>
      </c>
      <c r="P23" s="1419"/>
      <c r="Q23" s="1421"/>
      <c r="R23" s="1421"/>
      <c r="Y23" s="1418" t="s">
        <v>559</v>
      </c>
      <c r="AA23" s="1418" t="s">
        <v>560</v>
      </c>
      <c r="AB23" s="1418" t="s">
        <v>606</v>
      </c>
      <c r="AE23" s="1418" t="s">
        <v>607</v>
      </c>
      <c r="AF23" s="1418" t="s">
        <v>606</v>
      </c>
      <c r="AI23" s="1418" t="s">
        <v>608</v>
      </c>
      <c r="AJ23" s="1418" t="s">
        <v>606</v>
      </c>
      <c r="AM23" s="1418" t="s">
        <v>609</v>
      </c>
      <c r="AQ23" s="1418" t="s">
        <v>559</v>
      </c>
      <c r="AS23" s="1418" t="s">
        <v>560</v>
      </c>
      <c r="AV23" s="1422"/>
      <c r="AW23" s="1422"/>
      <c r="AX23" s="1422"/>
      <c r="AY23" s="1422"/>
      <c r="AZ23" s="1422"/>
    </row>
    <row r="24" spans="1:52" ht="14.25" hidden="1" customHeight="1">
      <c r="O24" s="1281"/>
      <c r="AV24" s="423"/>
      <c r="AW24" s="423"/>
      <c r="AX24" s="423"/>
      <c r="AY24" s="423"/>
      <c r="AZ24" s="423"/>
    </row>
    <row r="25" spans="1:52" ht="14.25" hidden="1" customHeight="1">
      <c r="O25" s="1281"/>
      <c r="AV25" s="423"/>
      <c r="AW25" s="423"/>
      <c r="AX25" s="423"/>
      <c r="AY25" s="423"/>
      <c r="AZ25" s="423"/>
    </row>
    <row r="26" spans="1:52" ht="14.25" customHeight="1">
      <c r="Q26" s="210"/>
      <c r="R26" s="306"/>
      <c r="S26" s="1196"/>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474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743"/>
      <c r="U27" s="4743"/>
      <c r="V27" s="4743"/>
      <c r="W27" s="4743"/>
      <c r="X27" s="4743"/>
      <c r="Y27" s="4743"/>
      <c r="Z27" s="4743"/>
      <c r="AA27" s="4743"/>
      <c r="AB27" s="4743"/>
      <c r="AC27" s="4743"/>
      <c r="AD27" s="4743"/>
      <c r="AE27" s="4743"/>
      <c r="AF27" s="4743"/>
      <c r="AG27" s="4743"/>
      <c r="AH27" s="4743"/>
      <c r="AI27" s="4743"/>
      <c r="AJ27" s="4743"/>
      <c r="AK27" s="4743"/>
      <c r="AL27" s="4743"/>
      <c r="AM27" s="4743"/>
      <c r="AN27" s="4743"/>
      <c r="AO27" s="4743"/>
      <c r="AP27" s="4743"/>
      <c r="AQ27" s="4743"/>
      <c r="AR27" s="4743"/>
      <c r="AS27" s="1153"/>
    </row>
    <row r="28" spans="1:52" ht="14.25" customHeight="1">
      <c r="Q28" s="210"/>
      <c r="R28" s="306"/>
      <c r="S28" s="4690" t="str">
        <f>IF(org=0,"Не определено",org)</f>
        <v>ОГКП "Ульяновский областной водоканал"</v>
      </c>
      <c r="T28" s="4690"/>
      <c r="U28" s="4690"/>
      <c r="V28" s="4690"/>
      <c r="W28" s="4690"/>
      <c r="X28" s="4690"/>
      <c r="Y28" s="4690"/>
      <c r="Z28" s="4690"/>
      <c r="AA28" s="4690"/>
      <c r="AB28" s="4690"/>
      <c r="AC28" s="4690"/>
      <c r="AD28" s="4690"/>
      <c r="AE28" s="4690"/>
      <c r="AF28" s="4690"/>
      <c r="AG28" s="4690"/>
      <c r="AH28" s="4690"/>
      <c r="AI28" s="4690"/>
      <c r="AJ28" s="4690"/>
      <c r="AK28" s="4690"/>
      <c r="AL28" s="4690"/>
      <c r="AM28" s="4690"/>
      <c r="AN28" s="4690"/>
      <c r="AO28" s="4690"/>
      <c r="AP28" s="4690"/>
      <c r="AQ28" s="4690"/>
      <c r="AR28" s="4690"/>
      <c r="AS28" s="1153"/>
    </row>
    <row r="29" spans="1:52" ht="14.25" customHeight="1">
      <c r="Q29" s="210"/>
      <c r="R29" s="306"/>
      <c r="S29" s="1196"/>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951" customFormat="1" ht="25.5" customHeight="1">
      <c r="A30" s="1285"/>
      <c r="B30" s="1285"/>
      <c r="C30" s="1285"/>
      <c r="D30" s="1285"/>
      <c r="E30" s="1285"/>
      <c r="F30" s="1285"/>
      <c r="G30" s="1285"/>
      <c r="H30" s="1285"/>
      <c r="I30" s="1285"/>
      <c r="J30" s="1285"/>
      <c r="K30" s="1285"/>
      <c r="L30" s="1286"/>
      <c r="M30" s="1285"/>
      <c r="N30" s="1285"/>
      <c r="O30" s="1285"/>
      <c r="P30" s="1285"/>
      <c r="Q30" s="1285"/>
      <c r="S30" s="4751" t="s">
        <v>38</v>
      </c>
      <c r="T30" s="4751"/>
      <c r="U30" s="1289"/>
      <c r="V30" s="4752" t="str">
        <f>IF(TITLE_NAME_OR_PR_CHANGE="",IF(TITLE_NAME_OR_PR="","",TITLE_NAME_OR_PR),TITLE_NAME_OR_PR_CHANGE)</f>
        <v>Агентство по регулированию цен и тарифов Ульяновской области</v>
      </c>
      <c r="W30" s="4752"/>
      <c r="X30" s="4752"/>
      <c r="Y30" s="4752"/>
      <c r="Z30" s="4752"/>
      <c r="AA30" s="253"/>
      <c r="AB30" s="4752" t="str">
        <f>IF(TITLE_NAME_OR_PR_CHANGE="",IF(TITLE_NAME_OR_PR="","",TITLE_NAME_OR_PR),TITLE_NAME_OR_PR_CHANGE)</f>
        <v>Агентство по регулированию цен и тарифов Ульяновской области</v>
      </c>
      <c r="AC30" s="4752"/>
      <c r="AD30" s="4752"/>
      <c r="AE30" s="4752"/>
      <c r="AF30" s="4752"/>
      <c r="AG30" s="4752"/>
      <c r="AH30" s="4752"/>
      <c r="AI30" s="4752"/>
      <c r="AJ30" s="4752"/>
      <c r="AK30" s="4752"/>
      <c r="AL30" s="4752"/>
      <c r="AM30" s="4752"/>
      <c r="AN30" s="4752"/>
      <c r="AO30" s="4752"/>
      <c r="AP30" s="4752"/>
      <c r="AQ30" s="4752"/>
      <c r="AR30" s="4752"/>
      <c r="AS30" s="253"/>
      <c r="AT30" s="253"/>
      <c r="AU30" s="200"/>
      <c r="AV30" s="297"/>
      <c r="AW30" s="297"/>
      <c r="AX30" s="297"/>
      <c r="AY30" s="297"/>
      <c r="AZ30" s="297"/>
    </row>
    <row r="31" spans="1:52" s="1951" customFormat="1" ht="18.75" customHeight="1">
      <c r="A31" s="1285"/>
      <c r="B31" s="1285"/>
      <c r="C31" s="1285"/>
      <c r="D31" s="1285"/>
      <c r="E31" s="1285"/>
      <c r="F31" s="1285"/>
      <c r="G31" s="1285"/>
      <c r="H31" s="1285"/>
      <c r="I31" s="1285"/>
      <c r="J31" s="1285"/>
      <c r="K31" s="1285"/>
      <c r="L31" s="1286"/>
      <c r="M31" s="1285"/>
      <c r="N31" s="1285"/>
      <c r="O31" s="1285"/>
      <c r="P31" s="1285"/>
      <c r="Q31" s="1285"/>
      <c r="S31" s="4751" t="s">
        <v>562</v>
      </c>
      <c r="T31" s="4751"/>
      <c r="U31" s="1289"/>
      <c r="V31" s="4761">
        <f>IF(TITLE_DATE_PR_CHANGE="",IF(TITLE_DATE_PR="","",TITLE_DATE_PR),TITLE_DATE_PR_CHANGE)</f>
        <v>45279.639965277776</v>
      </c>
      <c r="W31" s="4761"/>
      <c r="X31" s="4761"/>
      <c r="Y31" s="4761"/>
      <c r="Z31" s="4761"/>
      <c r="AA31" s="253"/>
      <c r="AB31" s="4761">
        <f>IF(TITLE_DATE_PR_CHANGE="",IF(TITLE_DATE_PR="","",TITLE_DATE_PR),TITLE_DATE_PR_CHANGE)</f>
        <v>45279.639965277776</v>
      </c>
      <c r="AC31" s="4761"/>
      <c r="AD31" s="4761"/>
      <c r="AE31" s="4761"/>
      <c r="AF31" s="4761"/>
      <c r="AG31" s="4761"/>
      <c r="AH31" s="4761"/>
      <c r="AI31" s="4761"/>
      <c r="AJ31" s="4761"/>
      <c r="AK31" s="4761"/>
      <c r="AL31" s="4761"/>
      <c r="AM31" s="4761"/>
      <c r="AN31" s="4761"/>
      <c r="AO31" s="4761"/>
      <c r="AP31" s="4761"/>
      <c r="AQ31" s="4761"/>
      <c r="AR31" s="4761"/>
      <c r="AS31" s="253"/>
      <c r="AT31" s="253"/>
      <c r="AU31" s="200"/>
      <c r="AV31" s="297"/>
      <c r="AW31" s="297"/>
      <c r="AX31" s="297"/>
      <c r="AY31" s="297"/>
      <c r="AZ31" s="297"/>
    </row>
    <row r="32" spans="1:52" s="1951" customFormat="1" ht="18.75" customHeight="1">
      <c r="A32" s="1285"/>
      <c r="B32" s="1285"/>
      <c r="C32" s="1285"/>
      <c r="D32" s="1285"/>
      <c r="E32" s="1285"/>
      <c r="F32" s="1285"/>
      <c r="G32" s="1285"/>
      <c r="H32" s="1285"/>
      <c r="I32" s="1285"/>
      <c r="J32" s="1285"/>
      <c r="K32" s="1285"/>
      <c r="L32" s="1286"/>
      <c r="M32" s="1285"/>
      <c r="N32" s="1285"/>
      <c r="O32" s="1285"/>
      <c r="P32" s="1285"/>
      <c r="Q32" s="1285"/>
      <c r="S32" s="4751" t="s">
        <v>563</v>
      </c>
      <c r="T32" s="4751"/>
      <c r="U32" s="1289"/>
      <c r="V32" s="4752" t="str">
        <f>IF(TITLE_NUMBER_PR_CHANGE="",IF(TITLE_NUMBER_PR="","",TITLE_NUMBER_PR),TITLE_NUMBER_PR_CHANGE)</f>
        <v>233-П</v>
      </c>
      <c r="W32" s="4752"/>
      <c r="X32" s="4752"/>
      <c r="Y32" s="4752"/>
      <c r="Z32" s="4752"/>
      <c r="AA32" s="253"/>
      <c r="AB32" s="4752" t="str">
        <f>IF(TITLE_NUMBER_PR_CHANGE="",IF(TITLE_NUMBER_PR="","",TITLE_NUMBER_PR),TITLE_NUMBER_PR_CHANGE)</f>
        <v>233-П</v>
      </c>
      <c r="AC32" s="4752"/>
      <c r="AD32" s="4752"/>
      <c r="AE32" s="4752"/>
      <c r="AF32" s="4752"/>
      <c r="AG32" s="4752"/>
      <c r="AH32" s="4752"/>
      <c r="AI32" s="4752"/>
      <c r="AJ32" s="4752"/>
      <c r="AK32" s="4752"/>
      <c r="AL32" s="4752"/>
      <c r="AM32" s="4752"/>
      <c r="AN32" s="4752"/>
      <c r="AO32" s="4752"/>
      <c r="AP32" s="4752"/>
      <c r="AQ32" s="4752"/>
      <c r="AR32" s="4752"/>
      <c r="AS32" s="253"/>
      <c r="AT32" s="253"/>
      <c r="AU32" s="200"/>
      <c r="AV32" s="297"/>
      <c r="AW32" s="297"/>
      <c r="AX32" s="297"/>
      <c r="AY32" s="297"/>
      <c r="AZ32" s="297"/>
    </row>
    <row r="33" spans="1:52" s="1951" customFormat="1" ht="18.75" customHeight="1">
      <c r="A33" s="1285"/>
      <c r="B33" s="1285"/>
      <c r="C33" s="1285"/>
      <c r="D33" s="1285"/>
      <c r="E33" s="1285"/>
      <c r="F33" s="1285"/>
      <c r="G33" s="1285"/>
      <c r="H33" s="1285"/>
      <c r="I33" s="1285"/>
      <c r="J33" s="1285"/>
      <c r="K33" s="1285"/>
      <c r="L33" s="1286"/>
      <c r="M33" s="1285"/>
      <c r="N33" s="1285"/>
      <c r="O33" s="1285"/>
      <c r="P33" s="1285"/>
      <c r="Q33" s="1285"/>
      <c r="S33" s="4751" t="s">
        <v>40</v>
      </c>
      <c r="T33" s="4751"/>
      <c r="U33" s="1289"/>
      <c r="V33" s="4752" t="str">
        <f>IF(TITLE_IST_PUB_CHANGE="",IF(TITLE_IST_PUB="","",TITLE_IST_PUB),TITLE_IST_PUB_CHANGE)</f>
        <v>сайт Агентства по регулированию цен и тарифов Ульяновской области</v>
      </c>
      <c r="W33" s="4752"/>
      <c r="X33" s="4752"/>
      <c r="Y33" s="4752"/>
      <c r="Z33" s="4752"/>
      <c r="AA33" s="253"/>
      <c r="AB33" s="4752" t="str">
        <f>IF(TITLE_IST_PUB_CHANGE="",IF(TITLE_IST_PUB="","",TITLE_IST_PUB),TITLE_IST_PUB_CHANGE)</f>
        <v>сайт Агентства по регулированию цен и тарифов Ульяновской области</v>
      </c>
      <c r="AC33" s="4752"/>
      <c r="AD33" s="4752"/>
      <c r="AE33" s="4752"/>
      <c r="AF33" s="4752"/>
      <c r="AG33" s="4752"/>
      <c r="AH33" s="4752"/>
      <c r="AI33" s="4752"/>
      <c r="AJ33" s="4752"/>
      <c r="AK33" s="4752"/>
      <c r="AL33" s="4752"/>
      <c r="AM33" s="4752"/>
      <c r="AN33" s="4752"/>
      <c r="AO33" s="4752"/>
      <c r="AP33" s="4752"/>
      <c r="AQ33" s="4752"/>
      <c r="AR33" s="4752"/>
      <c r="AS33" s="253"/>
      <c r="AT33" s="253"/>
      <c r="AU33" s="200"/>
      <c r="AV33" s="297"/>
      <c r="AW33" s="297"/>
      <c r="AX33" s="297"/>
      <c r="AY33" s="297"/>
      <c r="AZ33" s="297"/>
    </row>
    <row r="34" spans="1:52" ht="14.25" hidden="1" customHeight="1">
      <c r="Q34" s="210"/>
      <c r="R34" s="306"/>
      <c r="S34" s="1196"/>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951" customFormat="1" ht="18.75" hidden="1" customHeight="1">
      <c r="A35" s="1285"/>
      <c r="B35" s="1285"/>
      <c r="C35" s="1285"/>
      <c r="D35" s="1285"/>
      <c r="E35" s="1285"/>
      <c r="F35" s="1285"/>
      <c r="G35" s="1285"/>
      <c r="H35" s="1285"/>
      <c r="I35" s="1285"/>
      <c r="J35" s="1285"/>
      <c r="K35" s="1285"/>
      <c r="L35" s="1286"/>
      <c r="M35" s="1285"/>
      <c r="N35" s="1285"/>
      <c r="O35" s="1285"/>
      <c r="P35" s="1285"/>
      <c r="Q35" s="1285"/>
      <c r="S35" s="4751" t="s">
        <v>562</v>
      </c>
      <c r="T35" s="4751"/>
      <c r="U35" s="1289"/>
      <c r="V35" s="4761">
        <f>IF(TITLE_DATE_PR_CHANGE="",IF(TITLE_DATE_PR="","",TITLE_DATE_PR),TITLE_DATE_PR_CHANGE)</f>
        <v>45279.639965277776</v>
      </c>
      <c r="W35" s="4761"/>
      <c r="X35" s="4761"/>
      <c r="Y35" s="4761"/>
      <c r="Z35" s="4761"/>
      <c r="AA35" s="253"/>
      <c r="AB35" s="4761">
        <f>IF(TITLE_DATE_PR_CHANGE="",IF(TITLE_DATE_PR="","",TITLE_DATE_PR),TITLE_DATE_PR_CHANGE)</f>
        <v>45279.639965277776</v>
      </c>
      <c r="AC35" s="4761"/>
      <c r="AD35" s="4761"/>
      <c r="AE35" s="4761"/>
      <c r="AF35" s="4761"/>
      <c r="AG35" s="4761"/>
      <c r="AH35" s="4761"/>
      <c r="AI35" s="4761"/>
      <c r="AJ35" s="4761"/>
      <c r="AK35" s="4761"/>
      <c r="AL35" s="4761"/>
      <c r="AM35" s="4761"/>
      <c r="AN35" s="4761"/>
      <c r="AO35" s="4761"/>
      <c r="AP35" s="4761"/>
      <c r="AQ35" s="4761"/>
      <c r="AR35" s="4761"/>
      <c r="AS35" s="253"/>
      <c r="AT35" s="253"/>
      <c r="AU35" s="200"/>
      <c r="AV35" s="297"/>
      <c r="AW35" s="297"/>
      <c r="AX35" s="297"/>
      <c r="AY35" s="297"/>
      <c r="AZ35" s="297"/>
    </row>
    <row r="36" spans="1:52" s="1951" customFormat="1" ht="18" hidden="1" customHeight="1">
      <c r="A36" s="1285"/>
      <c r="B36" s="1285"/>
      <c r="C36" s="1285"/>
      <c r="D36" s="1285"/>
      <c r="E36" s="1285"/>
      <c r="F36" s="1285"/>
      <c r="G36" s="1285"/>
      <c r="H36" s="1285"/>
      <c r="I36" s="1285"/>
      <c r="J36" s="1285"/>
      <c r="K36" s="1285"/>
      <c r="L36" s="1286"/>
      <c r="M36" s="1285"/>
      <c r="N36" s="1285"/>
      <c r="O36" s="1285"/>
      <c r="P36" s="1285"/>
      <c r="Q36" s="1285"/>
      <c r="S36" s="4751" t="s">
        <v>563</v>
      </c>
      <c r="T36" s="4751"/>
      <c r="U36" s="1289"/>
      <c r="V36" s="4752" t="str">
        <f>IF(TITLE_NUMBER_PR_CHANGE="",IF(TITLE_NUMBER_PR="","",TITLE_NUMBER_PR),TITLE_NUMBER_PR_CHANGE)</f>
        <v>233-П</v>
      </c>
      <c r="W36" s="4752"/>
      <c r="X36" s="4752"/>
      <c r="Y36" s="4752"/>
      <c r="Z36" s="4752"/>
      <c r="AA36" s="253"/>
      <c r="AB36" s="4752" t="str">
        <f>IF(TITLE_NUMBER_PR_CHANGE="",IF(TITLE_NUMBER_PR="","",TITLE_NUMBER_PR),TITLE_NUMBER_PR_CHANGE)</f>
        <v>233-П</v>
      </c>
      <c r="AC36" s="4752"/>
      <c r="AD36" s="4752"/>
      <c r="AE36" s="4752"/>
      <c r="AF36" s="4752"/>
      <c r="AG36" s="4752"/>
      <c r="AH36" s="4752"/>
      <c r="AI36" s="4752"/>
      <c r="AJ36" s="4752"/>
      <c r="AK36" s="4752"/>
      <c r="AL36" s="4752"/>
      <c r="AM36" s="4752"/>
      <c r="AN36" s="4752"/>
      <c r="AO36" s="4752"/>
      <c r="AP36" s="4752"/>
      <c r="AQ36" s="4752"/>
      <c r="AR36" s="4752"/>
      <c r="AS36" s="253"/>
      <c r="AT36" s="253"/>
      <c r="AU36" s="200"/>
      <c r="AV36" s="297"/>
      <c r="AW36" s="297"/>
      <c r="AX36" s="297"/>
      <c r="AY36" s="297"/>
      <c r="AZ36" s="297"/>
    </row>
    <row r="37" spans="1:52" s="1951" customFormat="1" ht="0.75" customHeight="1">
      <c r="A37" s="1285"/>
      <c r="B37" s="1285"/>
      <c r="C37" s="1285"/>
      <c r="D37" s="1285"/>
      <c r="E37" s="1285"/>
      <c r="F37" s="1285"/>
      <c r="G37" s="1285"/>
      <c r="H37" s="1285"/>
      <c r="I37" s="1285"/>
      <c r="J37" s="1285"/>
      <c r="K37" s="1285"/>
      <c r="L37" s="1286"/>
      <c r="M37" s="1285"/>
      <c r="N37" s="1285"/>
      <c r="O37" s="1285"/>
      <c r="P37" s="1285"/>
      <c r="Q37" s="1285"/>
      <c r="S37" s="249"/>
      <c r="T37" s="249"/>
      <c r="U37" s="1258"/>
      <c r="V37" s="253"/>
      <c r="W37" s="253"/>
      <c r="X37" s="253"/>
      <c r="Y37" s="253"/>
      <c r="Z37" s="253"/>
      <c r="AA37" s="198" t="s">
        <v>566</v>
      </c>
      <c r="AB37" s="253"/>
      <c r="AC37" s="253"/>
      <c r="AD37" s="253"/>
      <c r="AE37" s="253"/>
      <c r="AF37" s="253"/>
      <c r="AG37" s="253"/>
      <c r="AH37" s="253"/>
      <c r="AI37" s="253"/>
      <c r="AJ37" s="253"/>
      <c r="AK37" s="253"/>
      <c r="AL37" s="253"/>
      <c r="AM37" s="253"/>
      <c r="AN37" s="253"/>
      <c r="AO37" s="253"/>
      <c r="AP37" s="253"/>
      <c r="AQ37" s="253"/>
      <c r="AR37" s="253"/>
      <c r="AS37" s="198" t="s">
        <v>566</v>
      </c>
      <c r="AV37" s="297"/>
      <c r="AW37" s="297"/>
      <c r="AX37" s="297"/>
      <c r="AY37" s="297"/>
      <c r="AZ37" s="297"/>
    </row>
    <row r="38" spans="1:52" ht="14.25" customHeight="1">
      <c r="Q38" s="210"/>
      <c r="R38" s="306"/>
      <c r="S38" s="1196"/>
      <c r="T38" s="291"/>
      <c r="U38" s="1154"/>
      <c r="V38" s="4753"/>
      <c r="W38" s="4753"/>
      <c r="X38" s="4753"/>
      <c r="Y38" s="4753"/>
      <c r="Z38" s="4753"/>
      <c r="AA38" s="4753"/>
      <c r="AB38" s="4753"/>
      <c r="AC38" s="4753"/>
      <c r="AD38" s="4753"/>
      <c r="AE38" s="4753"/>
      <c r="AF38" s="4753"/>
      <c r="AG38" s="4753"/>
      <c r="AH38" s="4753"/>
      <c r="AI38" s="4753"/>
      <c r="AJ38" s="4753"/>
      <c r="AK38" s="4753"/>
      <c r="AL38" s="4753"/>
      <c r="AM38" s="4753"/>
      <c r="AN38" s="4753"/>
      <c r="AO38" s="4753"/>
      <c r="AP38" s="4753"/>
      <c r="AQ38" s="4753"/>
      <c r="AR38" s="4753"/>
      <c r="AS38" s="4753"/>
    </row>
    <row r="39" spans="1:52" ht="14.25" customHeight="1">
      <c r="Q39" s="210"/>
      <c r="R39" s="306"/>
      <c r="S39" s="4627" t="s">
        <v>439</v>
      </c>
      <c r="T39" s="4627"/>
      <c r="U39" s="4627"/>
      <c r="V39" s="4627"/>
      <c r="W39" s="4627"/>
      <c r="X39" s="4627"/>
      <c r="Y39" s="4627"/>
      <c r="Z39" s="4627"/>
      <c r="AA39" s="4627"/>
      <c r="AB39" s="4689"/>
      <c r="AC39" s="4689"/>
      <c r="AD39" s="4689"/>
      <c r="AE39" s="4689"/>
      <c r="AF39" s="4627"/>
      <c r="AG39" s="4627"/>
      <c r="AH39" s="4627"/>
      <c r="AI39" s="4627"/>
      <c r="AJ39" s="4627"/>
      <c r="AK39" s="4627"/>
      <c r="AL39" s="4627"/>
      <c r="AM39" s="4627"/>
      <c r="AN39" s="4627"/>
      <c r="AO39" s="4627"/>
      <c r="AP39" s="4627"/>
      <c r="AQ39" s="4627"/>
      <c r="AR39" s="4627"/>
      <c r="AS39" s="4627"/>
      <c r="AT39" s="4627"/>
      <c r="AU39" s="4627" t="s">
        <v>440</v>
      </c>
    </row>
    <row r="40" spans="1:52" ht="14.25" customHeight="1">
      <c r="Q40" s="210"/>
      <c r="R40" s="306"/>
      <c r="S40" s="4767" t="s">
        <v>86</v>
      </c>
      <c r="T40" s="4719" t="s">
        <v>610</v>
      </c>
      <c r="U40" s="220"/>
      <c r="V40" s="4769"/>
      <c r="W40" s="4769"/>
      <c r="X40" s="4769"/>
      <c r="Y40" s="4769"/>
      <c r="Z40" s="4770"/>
      <c r="AA40" s="4805" t="s">
        <v>569</v>
      </c>
      <c r="AB40" s="4797" t="s">
        <v>611</v>
      </c>
      <c r="AC40" s="4783"/>
      <c r="AD40" s="4783"/>
      <c r="AE40" s="4798"/>
      <c r="AF40" s="4783" t="s">
        <v>612</v>
      </c>
      <c r="AG40" s="4783"/>
      <c r="AH40" s="4783"/>
      <c r="AI40" s="4798"/>
      <c r="AJ40" s="4797" t="s">
        <v>613</v>
      </c>
      <c r="AK40" s="4783"/>
      <c r="AL40" s="4783"/>
      <c r="AM40" s="4798"/>
      <c r="AN40" s="4797" t="s">
        <v>568</v>
      </c>
      <c r="AO40" s="4783"/>
      <c r="AP40" s="4769"/>
      <c r="AQ40" s="4769"/>
      <c r="AR40" s="4770"/>
      <c r="AS40" s="4771" t="s">
        <v>569</v>
      </c>
      <c r="AT40" s="4774" t="s">
        <v>571</v>
      </c>
      <c r="AU40" s="4627"/>
    </row>
    <row r="41" spans="1:52" ht="33.75" customHeight="1">
      <c r="Q41" s="210"/>
      <c r="R41" s="306"/>
      <c r="S41" s="4767"/>
      <c r="T41" s="4719"/>
      <c r="U41" s="939"/>
      <c r="V41" s="4704" t="s">
        <v>614</v>
      </c>
      <c r="W41" s="4705"/>
      <c r="X41" s="4704" t="s">
        <v>575</v>
      </c>
      <c r="Y41" s="4792"/>
      <c r="Z41" s="4705"/>
      <c r="AA41" s="4806"/>
      <c r="AB41" s="4799"/>
      <c r="AC41" s="4800"/>
      <c r="AD41" s="4800"/>
      <c r="AE41" s="4801"/>
      <c r="AF41" s="4800"/>
      <c r="AG41" s="4800"/>
      <c r="AH41" s="4800"/>
      <c r="AI41" s="4801"/>
      <c r="AJ41" s="4799"/>
      <c r="AK41" s="4800"/>
      <c r="AL41" s="4800"/>
      <c r="AM41" s="4800"/>
      <c r="AN41" s="4627" t="s">
        <v>615</v>
      </c>
      <c r="AO41" s="4627"/>
      <c r="AP41" s="4792" t="s">
        <v>575</v>
      </c>
      <c r="AQ41" s="4792"/>
      <c r="AR41" s="4705"/>
      <c r="AS41" s="4772"/>
      <c r="AT41" s="4775"/>
      <c r="AU41" s="4627"/>
    </row>
    <row r="42" spans="1:52" ht="14.25" customHeight="1">
      <c r="Q42" s="210"/>
      <c r="R42" s="306"/>
      <c r="S42" s="4767"/>
      <c r="T42" s="4719"/>
      <c r="U42" s="939"/>
      <c r="V42" s="4709"/>
      <c r="W42" s="4710"/>
      <c r="X42" s="4709"/>
      <c r="Y42" s="4793"/>
      <c r="Z42" s="4710"/>
      <c r="AA42" s="4806"/>
      <c r="AB42" s="4799"/>
      <c r="AC42" s="4800"/>
      <c r="AD42" s="4800"/>
      <c r="AE42" s="4801"/>
      <c r="AF42" s="4800"/>
      <c r="AG42" s="4800"/>
      <c r="AH42" s="4800"/>
      <c r="AI42" s="4801"/>
      <c r="AJ42" s="4799"/>
      <c r="AK42" s="4800"/>
      <c r="AL42" s="4800"/>
      <c r="AM42" s="4800"/>
      <c r="AN42" s="4808"/>
      <c r="AO42" s="4808"/>
      <c r="AP42" s="4793"/>
      <c r="AQ42" s="4793"/>
      <c r="AR42" s="4710"/>
      <c r="AS42" s="4772"/>
      <c r="AT42" s="4775"/>
      <c r="AU42" s="4627"/>
    </row>
    <row r="43" spans="1:52" ht="14.25" customHeight="1">
      <c r="A43" s="1287"/>
      <c r="B43" s="1287" t="s">
        <v>197</v>
      </c>
      <c r="C43" s="1287" t="s">
        <v>198</v>
      </c>
      <c r="D43" s="1287" t="s">
        <v>199</v>
      </c>
      <c r="E43" s="1281" t="s">
        <v>576</v>
      </c>
      <c r="F43" s="1281" t="s">
        <v>577</v>
      </c>
      <c r="G43" s="1281" t="s">
        <v>578</v>
      </c>
      <c r="H43" s="1281" t="s">
        <v>579</v>
      </c>
      <c r="I43" s="1281" t="s">
        <v>580</v>
      </c>
      <c r="J43" s="1281" t="s">
        <v>581</v>
      </c>
      <c r="K43" s="1281" t="s">
        <v>582</v>
      </c>
      <c r="L43" s="1281" t="s">
        <v>557</v>
      </c>
      <c r="Q43" s="210"/>
      <c r="R43" s="306"/>
      <c r="S43" s="4767"/>
      <c r="T43" s="4719"/>
      <c r="U43" s="221"/>
      <c r="V43" s="1248" t="s">
        <v>616</v>
      </c>
      <c r="W43" s="1248" t="s">
        <v>617</v>
      </c>
      <c r="X43" s="1256" t="s">
        <v>585</v>
      </c>
      <c r="Y43" s="4727" t="s">
        <v>586</v>
      </c>
      <c r="Z43" s="4729"/>
      <c r="AA43" s="4807"/>
      <c r="AB43" s="4802"/>
      <c r="AC43" s="4803"/>
      <c r="AD43" s="4803"/>
      <c r="AE43" s="4804"/>
      <c r="AF43" s="4803"/>
      <c r="AG43" s="4803"/>
      <c r="AH43" s="4803"/>
      <c r="AI43" s="4804"/>
      <c r="AJ43" s="4802"/>
      <c r="AK43" s="4803"/>
      <c r="AL43" s="4803"/>
      <c r="AM43" s="4804"/>
      <c r="AN43" s="1772" t="s">
        <v>616</v>
      </c>
      <c r="AO43" s="1772" t="s">
        <v>617</v>
      </c>
      <c r="AP43" s="1256" t="s">
        <v>585</v>
      </c>
      <c r="AQ43" s="4727" t="s">
        <v>586</v>
      </c>
      <c r="AR43" s="4729"/>
      <c r="AS43" s="4773"/>
      <c r="AT43" s="4776"/>
      <c r="AU43" s="4627"/>
    </row>
    <row r="44" spans="1:52" s="1820" customFormat="1" ht="11.25" hidden="1" customHeight="1">
      <c r="A44" s="1287"/>
      <c r="B44" s="1287"/>
      <c r="C44" s="1287"/>
      <c r="D44" s="1287"/>
      <c r="E44" s="1287"/>
      <c r="F44" s="1287"/>
      <c r="G44" s="1287"/>
      <c r="H44" s="1287"/>
      <c r="I44" s="1287"/>
      <c r="J44" s="1287"/>
      <c r="K44" s="1287"/>
      <c r="L44" s="1281"/>
      <c r="M44" s="1279"/>
      <c r="N44" s="1279"/>
      <c r="O44" s="1279"/>
      <c r="P44" s="437"/>
      <c r="Q44" s="1172"/>
      <c r="R44" s="1172">
        <v>1</v>
      </c>
      <c r="S44" s="1198" t="s">
        <v>174</v>
      </c>
      <c r="T44" s="1173" t="s">
        <v>101</v>
      </c>
      <c r="U44" s="1155" t="str">
        <f ca="1">OFFSET(U44,0,-1)</f>
        <v>2</v>
      </c>
      <c r="V44" s="1253">
        <f ca="1">OFFSET(V44,0,-1)+1</f>
        <v>3</v>
      </c>
      <c r="W44" s="1253">
        <f ca="1">OFFSET(W44,0,-1)+1</f>
        <v>4</v>
      </c>
      <c r="X44" s="1253">
        <f ca="1">OFFSET(X44,0,-1)+1</f>
        <v>5</v>
      </c>
      <c r="Y44" s="4766">
        <f ca="1">OFFSET(Y44,0,-1)+1</f>
        <v>6</v>
      </c>
      <c r="Z44" s="4766"/>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4766">
        <f ca="1">OFFSET(AQ44,0,-1)+1</f>
        <v>4</v>
      </c>
      <c r="AR44" s="4766"/>
      <c r="AS44" s="1253">
        <f ca="1">OFFSET(AS44,0,-2)+1</f>
        <v>5</v>
      </c>
      <c r="AT44" s="1155">
        <f ca="1">OFFSET(AT44,0,-1)</f>
        <v>5</v>
      </c>
      <c r="AU44" s="1253">
        <f ca="1">OFFSET(AU44,0,-1)+1</f>
        <v>6</v>
      </c>
      <c r="AV44" s="438"/>
      <c r="AW44" s="438"/>
      <c r="AX44" s="438"/>
      <c r="AY44" s="438"/>
      <c r="AZ44" s="438"/>
    </row>
    <row r="45" spans="1:52" ht="102" customHeight="1">
      <c r="A45" s="1280" t="s">
        <v>257</v>
      </c>
      <c r="B45" s="1280"/>
      <c r="C45" s="1280"/>
      <c r="D45" s="1280"/>
      <c r="E45" s="4759">
        <v>1</v>
      </c>
      <c r="F45" s="1280"/>
      <c r="G45" s="1280"/>
      <c r="H45" s="1280"/>
      <c r="I45" s="1280"/>
      <c r="J45" s="1280"/>
      <c r="K45" s="1280"/>
      <c r="L45" s="1281"/>
      <c r="M45" s="1282"/>
      <c r="N45" s="1282"/>
      <c r="O45" s="1282"/>
      <c r="P45" s="1326"/>
      <c r="Q45" s="787"/>
      <c r="R45" s="281"/>
      <c r="S45" s="1254">
        <f>INDEX(PT_DIFFERENTIATION_NUM_NTAR,MATCH(A45,PT_DIFFERENTIATION_NTAR_ID,0))</f>
        <v>0</v>
      </c>
      <c r="T45" s="217" t="s">
        <v>185</v>
      </c>
      <c r="U45" s="219"/>
      <c r="V45" s="4746"/>
      <c r="W45" s="4746"/>
      <c r="X45" s="4746"/>
      <c r="Y45" s="4746"/>
      <c r="Z45" s="4746"/>
      <c r="AA45" s="4747"/>
      <c r="AB45" s="4745" t="str">
        <f>INDEX(PT_DIFFERENTIATION_NTAR,MATCH(A45,PT_DIFFERENTIATION_NTAR_ID,0))</f>
        <v/>
      </c>
      <c r="AC45" s="4746"/>
      <c r="AD45" s="4746"/>
      <c r="AE45" s="4746"/>
      <c r="AF45" s="4746"/>
      <c r="AG45" s="4746"/>
      <c r="AH45" s="4746"/>
      <c r="AI45" s="4746"/>
      <c r="AJ45" s="4746"/>
      <c r="AK45" s="4746"/>
      <c r="AL45" s="4746"/>
      <c r="AM45" s="4746"/>
      <c r="AN45" s="4746"/>
      <c r="AO45" s="4746"/>
      <c r="AP45" s="4746"/>
      <c r="AQ45" s="4746"/>
      <c r="AR45" s="4746"/>
      <c r="AS45" s="4746"/>
      <c r="AT45" s="4747"/>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7"/>
      <c r="AX45" s="427" t="str">
        <f t="shared" ref="AX45:AX51" si="2">IF(T45="","",T45)</f>
        <v>Наименование тарифа</v>
      </c>
      <c r="AY45" s="427"/>
      <c r="AZ45" s="427"/>
    </row>
    <row r="46" spans="1:52" ht="21" customHeight="1">
      <c r="A46" s="1280" t="s">
        <v>257</v>
      </c>
      <c r="B46" s="1280" t="s">
        <v>258</v>
      </c>
      <c r="C46" s="1280"/>
      <c r="D46" s="1280"/>
      <c r="E46" s="4760"/>
      <c r="F46" s="4759">
        <v>1</v>
      </c>
      <c r="G46" s="1280"/>
      <c r="H46" s="1280"/>
      <c r="I46" s="1280"/>
      <c r="J46" s="1280"/>
      <c r="K46" s="1280"/>
      <c r="L46" s="1281"/>
      <c r="M46" s="1282"/>
      <c r="N46" s="1282"/>
      <c r="O46" s="1282"/>
      <c r="P46" s="1327"/>
      <c r="Q46" s="1328"/>
      <c r="R46" s="279"/>
      <c r="S46" s="1254" t="str">
        <f>INDEX(PT_DIFFERENTIATION_NUM_TER,MATCH(B46,PT_DIFFERENTIATION_TER_ID,0))</f>
        <v>.</v>
      </c>
      <c r="T46" s="229" t="s">
        <v>538</v>
      </c>
      <c r="U46" s="219"/>
      <c r="V46" s="4746"/>
      <c r="W46" s="4746"/>
      <c r="X46" s="4746"/>
      <c r="Y46" s="4746"/>
      <c r="Z46" s="4746"/>
      <c r="AA46" s="4747"/>
      <c r="AB46" s="4745" t="str">
        <f>INDEX(PT_DIFFERENTIATION_TER,MATCH(B46,PT_DIFFERENTIATION_TER_ID,0))</f>
        <v/>
      </c>
      <c r="AC46" s="4746"/>
      <c r="AD46" s="4746"/>
      <c r="AE46" s="4746"/>
      <c r="AF46" s="4746"/>
      <c r="AG46" s="4746"/>
      <c r="AH46" s="4746"/>
      <c r="AI46" s="4746"/>
      <c r="AJ46" s="4746"/>
      <c r="AK46" s="4746"/>
      <c r="AL46" s="4746"/>
      <c r="AM46" s="4746"/>
      <c r="AN46" s="4746"/>
      <c r="AO46" s="4746"/>
      <c r="AP46" s="4746"/>
      <c r="AQ46" s="4746"/>
      <c r="AR46" s="4746"/>
      <c r="AS46" s="4746"/>
      <c r="AT46" s="4747"/>
      <c r="AU46" s="1178" t="s">
        <v>539</v>
      </c>
      <c r="AW46" s="427"/>
      <c r="AX46" s="427" t="str">
        <f t="shared" si="2"/>
        <v>Территория действия тарифа</v>
      </c>
      <c r="AY46" s="427"/>
      <c r="AZ46" s="427"/>
    </row>
    <row r="47" spans="1:52" ht="23.25" customHeight="1">
      <c r="A47" s="1280" t="s">
        <v>257</v>
      </c>
      <c r="B47" s="1280" t="s">
        <v>258</v>
      </c>
      <c r="C47" s="1280" t="s">
        <v>259</v>
      </c>
      <c r="D47" s="1280"/>
      <c r="E47" s="4760"/>
      <c r="F47" s="4760"/>
      <c r="G47" s="4759">
        <v>1</v>
      </c>
      <c r="H47" s="1280"/>
      <c r="I47" s="1280"/>
      <c r="J47" s="1280"/>
      <c r="K47" s="1280"/>
      <c r="L47" s="1281"/>
      <c r="M47" s="1282"/>
      <c r="N47" s="1282"/>
      <c r="O47" s="1282"/>
      <c r="P47" s="1329"/>
      <c r="Q47" s="1328"/>
      <c r="R47" s="279"/>
      <c r="S47" s="1254" t="str">
        <f>INDEX(PT_DIFFERENTIATION_NUM_CS,MATCH(C47,PT_DIFFERENTIATION_CS_ID,0))</f>
        <v>..</v>
      </c>
      <c r="T47" s="230" t="s">
        <v>540</v>
      </c>
      <c r="U47" s="219"/>
      <c r="V47" s="4746"/>
      <c r="W47" s="4746"/>
      <c r="X47" s="4746"/>
      <c r="Y47" s="4746"/>
      <c r="Z47" s="4746"/>
      <c r="AA47" s="4747"/>
      <c r="AB47" s="4745" t="str">
        <f>INDEX(PT_DIFFERENTIATION_CS,MATCH(C47,PT_DIFFERENTIATION_CS_ID,0))</f>
        <v/>
      </c>
      <c r="AC47" s="4746"/>
      <c r="AD47" s="4746"/>
      <c r="AE47" s="4746"/>
      <c r="AF47" s="4746"/>
      <c r="AG47" s="4746"/>
      <c r="AH47" s="4746"/>
      <c r="AI47" s="4746"/>
      <c r="AJ47" s="4746"/>
      <c r="AK47" s="4746"/>
      <c r="AL47" s="4746"/>
      <c r="AM47" s="4746"/>
      <c r="AN47" s="4746"/>
      <c r="AO47" s="4746"/>
      <c r="AP47" s="4746"/>
      <c r="AQ47" s="4746"/>
      <c r="AR47" s="4746"/>
      <c r="AS47" s="4746"/>
      <c r="AT47" s="4747"/>
      <c r="AU47" s="1178" t="s">
        <v>541</v>
      </c>
      <c r="AW47" s="427"/>
      <c r="AX47" s="427" t="str">
        <f t="shared" si="2"/>
        <v xml:space="preserve">Наименование системы теплоснабжения </v>
      </c>
      <c r="AY47" s="427"/>
      <c r="AZ47" s="427"/>
    </row>
    <row r="48" spans="1:52" ht="21" customHeight="1">
      <c r="A48" s="1280" t="s">
        <v>257</v>
      </c>
      <c r="B48" s="1280" t="s">
        <v>258</v>
      </c>
      <c r="C48" s="1280" t="s">
        <v>259</v>
      </c>
      <c r="D48" s="1280" t="s">
        <v>260</v>
      </c>
      <c r="E48" s="4760"/>
      <c r="F48" s="4760"/>
      <c r="G48" s="4760"/>
      <c r="H48" s="4759">
        <v>1</v>
      </c>
      <c r="I48" s="1280"/>
      <c r="J48" s="1280"/>
      <c r="K48" s="1280"/>
      <c r="L48" s="1281"/>
      <c r="M48" s="1282"/>
      <c r="N48" s="1282"/>
      <c r="O48" s="1282"/>
      <c r="P48" s="1329"/>
      <c r="Q48" s="1328"/>
      <c r="R48" s="279"/>
      <c r="S48" s="1254" t="str">
        <f>INDEX(PT_DIFFERENTIATION_NUM_IST_TE,MATCH(D48,PT_DIFFERENTIATION_IST_TE_ID,0))</f>
        <v>...</v>
      </c>
      <c r="T48" s="231" t="s">
        <v>542</v>
      </c>
      <c r="U48" s="219"/>
      <c r="V48" s="4746"/>
      <c r="W48" s="4746"/>
      <c r="X48" s="4746"/>
      <c r="Y48" s="4746"/>
      <c r="Z48" s="4746"/>
      <c r="AA48" s="4747"/>
      <c r="AB48" s="4745" t="str">
        <f>INDEX(PT_DIFFERENTIATION_IST_TE,MATCH(D48,PT_DIFFERENTIATION_IST_TE_ID,0))</f>
        <v/>
      </c>
      <c r="AC48" s="4746"/>
      <c r="AD48" s="4746"/>
      <c r="AE48" s="4746"/>
      <c r="AF48" s="4746"/>
      <c r="AG48" s="4746"/>
      <c r="AH48" s="4746"/>
      <c r="AI48" s="4746"/>
      <c r="AJ48" s="4746"/>
      <c r="AK48" s="4746"/>
      <c r="AL48" s="4746"/>
      <c r="AM48" s="4746"/>
      <c r="AN48" s="4746"/>
      <c r="AO48" s="4746"/>
      <c r="AP48" s="4746"/>
      <c r="AQ48" s="4746"/>
      <c r="AR48" s="4746"/>
      <c r="AS48" s="4746"/>
      <c r="AT48" s="4747"/>
      <c r="AU48" s="1178" t="s">
        <v>543</v>
      </c>
      <c r="AW48" s="427"/>
      <c r="AX48" s="427" t="str">
        <f t="shared" si="2"/>
        <v xml:space="preserve">Источник тепловой энергии  </v>
      </c>
      <c r="AY48" s="427"/>
      <c r="AZ48" s="427"/>
    </row>
    <row r="49" spans="1:52" s="1821" customFormat="1" ht="0" hidden="1" customHeight="1">
      <c r="A49" s="1261" t="s">
        <v>257</v>
      </c>
      <c r="B49" s="1261" t="s">
        <v>258</v>
      </c>
      <c r="C49" s="1261" t="s">
        <v>259</v>
      </c>
      <c r="D49" s="1261" t="s">
        <v>260</v>
      </c>
      <c r="E49" s="4760"/>
      <c r="F49" s="4760"/>
      <c r="G49" s="4760"/>
      <c r="H49" s="4760"/>
      <c r="I49" s="4757" t="str">
        <f>S48&amp;".1"</f>
        <v>....1</v>
      </c>
      <c r="J49" s="1261"/>
      <c r="K49" s="1261"/>
      <c r="L49" s="1264" t="s">
        <v>544</v>
      </c>
      <c r="M49" s="437"/>
      <c r="N49" s="437"/>
      <c r="O49" s="437"/>
      <c r="P49" s="4758">
        <v>1</v>
      </c>
      <c r="Q49" s="1249"/>
      <c r="R49" s="282"/>
      <c r="S49" s="950"/>
      <c r="T49" s="1300"/>
      <c r="U49" s="1301"/>
      <c r="V49" s="4787"/>
      <c r="W49" s="4787"/>
      <c r="X49" s="4787"/>
      <c r="Y49" s="4787"/>
      <c r="Z49" s="4787"/>
      <c r="AA49" s="4788"/>
      <c r="AB49" s="4786"/>
      <c r="AC49" s="4787"/>
      <c r="AD49" s="4787"/>
      <c r="AE49" s="4787"/>
      <c r="AF49" s="4787"/>
      <c r="AG49" s="4787"/>
      <c r="AH49" s="4787"/>
      <c r="AI49" s="4787"/>
      <c r="AJ49" s="4787"/>
      <c r="AK49" s="4787"/>
      <c r="AL49" s="4787"/>
      <c r="AM49" s="4787"/>
      <c r="AN49" s="4787"/>
      <c r="AO49" s="4787"/>
      <c r="AP49" s="4787"/>
      <c r="AQ49" s="4787"/>
      <c r="AR49" s="4787"/>
      <c r="AS49" s="4787"/>
      <c r="AT49" s="4788"/>
      <c r="AU49" s="1302"/>
      <c r="AW49" s="427"/>
      <c r="AX49" s="427" t="str">
        <f t="shared" si="2"/>
        <v/>
      </c>
      <c r="AY49" s="427"/>
      <c r="AZ49" s="427"/>
    </row>
    <row r="50" spans="1:52" s="1821" customFormat="1" ht="0" hidden="1" customHeight="1">
      <c r="A50" s="1261" t="s">
        <v>257</v>
      </c>
      <c r="B50" s="1261" t="s">
        <v>258</v>
      </c>
      <c r="C50" s="1261" t="s">
        <v>259</v>
      </c>
      <c r="D50" s="1261" t="s">
        <v>260</v>
      </c>
      <c r="E50" s="4760"/>
      <c r="F50" s="4760"/>
      <c r="G50" s="4760"/>
      <c r="H50" s="4760"/>
      <c r="I50" s="4780"/>
      <c r="J50" s="4757" t="str">
        <f>S48&amp;".1"</f>
        <v>....1</v>
      </c>
      <c r="K50" s="1261"/>
      <c r="L50" s="1264"/>
      <c r="M50" s="437"/>
      <c r="N50" s="437"/>
      <c r="O50" s="437"/>
      <c r="P50" s="4758"/>
      <c r="Q50" s="4758">
        <v>1</v>
      </c>
      <c r="R50" s="283"/>
      <c r="S50" s="950"/>
      <c r="T50" s="1316"/>
      <c r="U50" s="1301"/>
      <c r="V50" s="4787"/>
      <c r="W50" s="4787"/>
      <c r="X50" s="4787"/>
      <c r="Y50" s="4787"/>
      <c r="Z50" s="4787"/>
      <c r="AA50" s="4788"/>
      <c r="AB50" s="4786"/>
      <c r="AC50" s="4787"/>
      <c r="AD50" s="4787"/>
      <c r="AE50" s="4787"/>
      <c r="AF50" s="4787"/>
      <c r="AG50" s="4787"/>
      <c r="AH50" s="4787"/>
      <c r="AI50" s="4787"/>
      <c r="AJ50" s="4787"/>
      <c r="AK50" s="4787"/>
      <c r="AL50" s="4787"/>
      <c r="AM50" s="4787"/>
      <c r="AN50" s="4787"/>
      <c r="AO50" s="4787"/>
      <c r="AP50" s="4787"/>
      <c r="AQ50" s="4787"/>
      <c r="AR50" s="4787"/>
      <c r="AS50" s="4787"/>
      <c r="AT50" s="4788"/>
      <c r="AU50" s="1302"/>
      <c r="AW50" s="427"/>
      <c r="AX50" s="427" t="str">
        <f t="shared" si="2"/>
        <v/>
      </c>
      <c r="AY50" s="427"/>
      <c r="AZ50" s="427"/>
    </row>
    <row r="51" spans="1:52" ht="21" customHeight="1">
      <c r="A51" s="1280" t="s">
        <v>257</v>
      </c>
      <c r="B51" s="1280" t="s">
        <v>258</v>
      </c>
      <c r="C51" s="1280" t="s">
        <v>259</v>
      </c>
      <c r="D51" s="1280" t="s">
        <v>260</v>
      </c>
      <c r="E51" s="4760"/>
      <c r="F51" s="4760"/>
      <c r="G51" s="4760"/>
      <c r="H51" s="4760"/>
      <c r="I51" s="4780"/>
      <c r="J51" s="4780"/>
      <c r="K51" s="4757" t="str">
        <f>S48&amp;".1"</f>
        <v>....1</v>
      </c>
      <c r="L51" s="1281"/>
      <c r="P51" s="4758"/>
      <c r="Q51" s="4758"/>
      <c r="R51" s="283">
        <v>1</v>
      </c>
      <c r="S51" s="4809" t="str">
        <f>$K51</f>
        <v>....1</v>
      </c>
      <c r="T51" s="4812"/>
      <c r="U51" s="219"/>
      <c r="V51" s="669"/>
      <c r="W51" s="1177"/>
      <c r="X51" s="1645"/>
      <c r="Y51" s="1373" t="s">
        <v>65</v>
      </c>
      <c r="Z51" s="1645"/>
      <c r="AA51" s="1373" t="s">
        <v>65</v>
      </c>
      <c r="AB51" s="4608" t="s">
        <v>55</v>
      </c>
      <c r="AC51" s="4795"/>
      <c r="AD51" s="4714">
        <v>1</v>
      </c>
      <c r="AE51" s="4816" t="s">
        <v>24</v>
      </c>
      <c r="AF51" s="4608" t="s">
        <v>55</v>
      </c>
      <c r="AG51" s="4795"/>
      <c r="AH51" s="4714">
        <v>1</v>
      </c>
      <c r="AI51" s="4816" t="s">
        <v>24</v>
      </c>
      <c r="AJ51" s="4608" t="s">
        <v>55</v>
      </c>
      <c r="AK51" s="232"/>
      <c r="AL51" s="1255">
        <v>1</v>
      </c>
      <c r="AM51" s="1319"/>
      <c r="AN51" s="669"/>
      <c r="AO51" s="1177"/>
      <c r="AP51" s="1645"/>
      <c r="AQ51" s="1373" t="s">
        <v>65</v>
      </c>
      <c r="AR51" s="1645"/>
      <c r="AS51" s="1373" t="s">
        <v>65</v>
      </c>
      <c r="AT51" s="1266"/>
      <c r="AU51" s="4754" t="s">
        <v>618</v>
      </c>
      <c r="AV51" s="438" t="e">
        <f ca="1">STRCHECKDATE(V54:AT54)</f>
        <v>#NAME?</v>
      </c>
      <c r="AW51" s="427"/>
      <c r="AX51" s="427" t="str">
        <f t="shared" si="2"/>
        <v/>
      </c>
      <c r="AY51" s="427"/>
      <c r="AZ51" s="427"/>
    </row>
    <row r="52" spans="1:52" ht="11.25" customHeight="1">
      <c r="A52" s="1280" t="s">
        <v>257</v>
      </c>
      <c r="B52" s="1280"/>
      <c r="C52" s="1280"/>
      <c r="D52" s="1280"/>
      <c r="E52" s="4760"/>
      <c r="F52" s="4760"/>
      <c r="G52" s="4760"/>
      <c r="H52" s="4760"/>
      <c r="I52" s="4780"/>
      <c r="J52" s="4780"/>
      <c r="K52" s="4757"/>
      <c r="L52" s="1281"/>
      <c r="P52" s="4758"/>
      <c r="Q52" s="4758"/>
      <c r="R52" s="283"/>
      <c r="S52" s="4810"/>
      <c r="T52" s="4813"/>
      <c r="U52" s="219"/>
      <c r="V52" s="1310"/>
      <c r="W52" s="1407"/>
      <c r="X52" s="1310"/>
      <c r="Y52" s="1310"/>
      <c r="Z52" s="1310"/>
      <c r="AA52" s="1310"/>
      <c r="AB52" s="4608"/>
      <c r="AC52" s="4795"/>
      <c r="AD52" s="4714"/>
      <c r="AE52" s="4816"/>
      <c r="AF52" s="4608"/>
      <c r="AG52" s="4795"/>
      <c r="AH52" s="4714"/>
      <c r="AI52" s="4816"/>
      <c r="AJ52" s="4608"/>
      <c r="AK52" s="239"/>
      <c r="AL52" s="351"/>
      <c r="AM52" s="350" t="s">
        <v>602</v>
      </c>
      <c r="AN52" s="1310"/>
      <c r="AO52" s="1407"/>
      <c r="AP52" s="1310"/>
      <c r="AQ52" s="1310"/>
      <c r="AR52" s="1310"/>
      <c r="AS52" s="1310"/>
      <c r="AT52" s="1307"/>
      <c r="AU52" s="4755"/>
      <c r="AW52" s="427"/>
      <c r="AX52" s="427"/>
      <c r="AY52" s="427"/>
      <c r="AZ52" s="427"/>
    </row>
    <row r="53" spans="1:52" ht="11.25" customHeight="1">
      <c r="A53" s="1280" t="s">
        <v>257</v>
      </c>
      <c r="B53" s="1280"/>
      <c r="C53" s="1280"/>
      <c r="D53" s="1280"/>
      <c r="E53" s="4760"/>
      <c r="F53" s="4760"/>
      <c r="G53" s="4760"/>
      <c r="H53" s="4760"/>
      <c r="I53" s="4780"/>
      <c r="J53" s="4780"/>
      <c r="K53" s="4757"/>
      <c r="L53" s="1281"/>
      <c r="P53" s="4758"/>
      <c r="Q53" s="4758"/>
      <c r="R53" s="283"/>
      <c r="S53" s="4810"/>
      <c r="T53" s="4813"/>
      <c r="U53" s="219"/>
      <c r="V53" s="1310"/>
      <c r="W53" s="1407"/>
      <c r="X53" s="1310"/>
      <c r="Y53" s="1310"/>
      <c r="Z53" s="1310"/>
      <c r="AA53" s="1310"/>
      <c r="AB53" s="4608"/>
      <c r="AC53" s="4795"/>
      <c r="AD53" s="4714"/>
      <c r="AE53" s="4816"/>
      <c r="AF53" s="4608"/>
      <c r="AG53" s="213"/>
      <c r="AH53" s="350"/>
      <c r="AI53" s="350" t="s">
        <v>603</v>
      </c>
      <c r="AJ53" s="1310"/>
      <c r="AK53" s="1310"/>
      <c r="AL53" s="1310"/>
      <c r="AM53" s="1310"/>
      <c r="AN53" s="1310"/>
      <c r="AO53" s="1407"/>
      <c r="AP53" s="1310"/>
      <c r="AQ53" s="1310"/>
      <c r="AR53" s="1310"/>
      <c r="AS53" s="1310"/>
      <c r="AT53" s="1307"/>
      <c r="AU53" s="4755"/>
      <c r="AW53" s="427"/>
      <c r="AX53" s="427"/>
      <c r="AY53" s="427"/>
      <c r="AZ53" s="427"/>
    </row>
    <row r="54" spans="1:52" ht="11.25" customHeight="1">
      <c r="A54" s="1280" t="s">
        <v>257</v>
      </c>
      <c r="B54" s="1280" t="s">
        <v>258</v>
      </c>
      <c r="C54" s="1280" t="s">
        <v>259</v>
      </c>
      <c r="D54" s="1280" t="s">
        <v>260</v>
      </c>
      <c r="E54" s="4760"/>
      <c r="F54" s="4760"/>
      <c r="G54" s="4760"/>
      <c r="H54" s="4760"/>
      <c r="I54" s="4780"/>
      <c r="J54" s="4780"/>
      <c r="K54" s="4757"/>
      <c r="L54" s="1281"/>
      <c r="P54" s="4758"/>
      <c r="Q54" s="4758"/>
      <c r="R54" s="283"/>
      <c r="S54" s="4811"/>
      <c r="T54" s="4814"/>
      <c r="U54" s="219"/>
      <c r="V54" s="1310"/>
      <c r="W54" s="1311" t="str">
        <f>X51&amp;"-"&amp;Z51</f>
        <v>-</v>
      </c>
      <c r="X54" s="1310"/>
      <c r="Y54" s="1310"/>
      <c r="Z54" s="1310"/>
      <c r="AA54" s="1310"/>
      <c r="AB54" s="4608"/>
      <c r="AC54" s="233"/>
      <c r="AD54" s="235"/>
      <c r="AE54" s="350" t="s">
        <v>604</v>
      </c>
      <c r="AF54" s="1310"/>
      <c r="AG54" s="1310"/>
      <c r="AH54" s="1310"/>
      <c r="AI54" s="1310"/>
      <c r="AJ54" s="1310"/>
      <c r="AK54" s="1310"/>
      <c r="AL54" s="1310"/>
      <c r="AM54" s="1310"/>
      <c r="AN54" s="1310"/>
      <c r="AO54" s="1311" t="str">
        <f>AP51&amp;"-"&amp;AR51</f>
        <v>-</v>
      </c>
      <c r="AP54" s="1310"/>
      <c r="AQ54" s="1310"/>
      <c r="AR54" s="1310"/>
      <c r="AS54" s="1310"/>
      <c r="AT54" s="1267"/>
      <c r="AU54" s="4755"/>
      <c r="AW54" s="427"/>
      <c r="AX54" s="427" t="str">
        <f t="shared" ref="AX54:AX62" si="3">IF(T54="","",T54)</f>
        <v/>
      </c>
      <c r="AY54" s="427"/>
      <c r="AZ54" s="427"/>
    </row>
    <row r="55" spans="1:52" ht="11.25" customHeight="1">
      <c r="A55" s="1280" t="s">
        <v>257</v>
      </c>
      <c r="B55" s="1280" t="s">
        <v>258</v>
      </c>
      <c r="C55" s="1280" t="s">
        <v>259</v>
      </c>
      <c r="D55" s="1280" t="s">
        <v>260</v>
      </c>
      <c r="E55" s="4760"/>
      <c r="F55" s="4760"/>
      <c r="G55" s="4760"/>
      <c r="H55" s="4760"/>
      <c r="I55" s="4780"/>
      <c r="J55" s="4757"/>
      <c r="K55" s="1280"/>
      <c r="L55" s="1281"/>
      <c r="P55" s="4758"/>
      <c r="Q55" s="4758"/>
      <c r="R55" s="282"/>
      <c r="S55" s="1199"/>
      <c r="T55" s="206" t="s">
        <v>605</v>
      </c>
      <c r="U55" s="296"/>
      <c r="V55" s="296"/>
      <c r="W55" s="296"/>
      <c r="X55" s="296"/>
      <c r="Y55" s="296"/>
      <c r="Z55" s="296"/>
      <c r="AA55" s="250"/>
      <c r="AB55" s="1416"/>
      <c r="AC55" s="296"/>
      <c r="AD55" s="296"/>
      <c r="AE55" s="296"/>
      <c r="AF55" s="296"/>
      <c r="AG55" s="296"/>
      <c r="AH55" s="296"/>
      <c r="AI55" s="296"/>
      <c r="AJ55" s="296"/>
      <c r="AK55" s="296"/>
      <c r="AL55" s="296"/>
      <c r="AM55" s="296"/>
      <c r="AN55" s="296"/>
      <c r="AO55" s="296"/>
      <c r="AP55" s="296"/>
      <c r="AQ55" s="296"/>
      <c r="AR55" s="296"/>
      <c r="AS55" s="296"/>
      <c r="AT55" s="250"/>
      <c r="AU55" s="4756"/>
      <c r="AW55" s="427"/>
      <c r="AX55" s="427" t="str">
        <f t="shared" si="3"/>
        <v>Добавить строку</v>
      </c>
      <c r="AY55" s="427"/>
      <c r="AZ55" s="427"/>
    </row>
    <row r="56" spans="1:52" s="1821" customFormat="1" ht="0" hidden="1" customHeight="1">
      <c r="A56" s="1261" t="s">
        <v>257</v>
      </c>
      <c r="B56" s="1261" t="s">
        <v>258</v>
      </c>
      <c r="C56" s="1261" t="s">
        <v>259</v>
      </c>
      <c r="D56" s="1261" t="s">
        <v>260</v>
      </c>
      <c r="E56" s="4760"/>
      <c r="F56" s="4760"/>
      <c r="G56" s="4760"/>
      <c r="H56" s="4760"/>
      <c r="I56" s="4757"/>
      <c r="J56" s="1261"/>
      <c r="K56" s="1261"/>
      <c r="L56" s="1264"/>
      <c r="M56" s="437"/>
      <c r="N56" s="437"/>
      <c r="O56" s="437"/>
      <c r="P56" s="4758"/>
      <c r="Q56" s="1249"/>
      <c r="R56" s="282"/>
      <c r="S56" s="1303"/>
      <c r="T56" s="1304" t="s">
        <v>553</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27"/>
      <c r="AX56" s="427" t="str">
        <f t="shared" si="3"/>
        <v>Добавить группу потребителей</v>
      </c>
      <c r="AY56" s="427"/>
      <c r="AZ56" s="427"/>
    </row>
    <row r="57" spans="1:52" s="1820" customFormat="1" ht="0" hidden="1" customHeight="1">
      <c r="A57" s="1261" t="s">
        <v>257</v>
      </c>
      <c r="B57" s="1261" t="s">
        <v>258</v>
      </c>
      <c r="C57" s="1261" t="s">
        <v>259</v>
      </c>
      <c r="D57" s="1261" t="s">
        <v>260</v>
      </c>
      <c r="E57" s="4760"/>
      <c r="F57" s="4760"/>
      <c r="G57" s="4760"/>
      <c r="H57" s="4759"/>
      <c r="I57" s="1261"/>
      <c r="J57" s="1261"/>
      <c r="K57" s="1261"/>
      <c r="L57" s="1264"/>
      <c r="M57" s="1234"/>
      <c r="N57" s="1234"/>
      <c r="O57" s="445"/>
      <c r="P57" s="314"/>
      <c r="Q57" s="1262"/>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38"/>
      <c r="AW57" s="427"/>
      <c r="AX57" s="427" t="str">
        <f t="shared" si="3"/>
        <v/>
      </c>
      <c r="AY57" s="427"/>
      <c r="AZ57" s="427"/>
    </row>
    <row r="58" spans="1:52" s="1946" customFormat="1" ht="0" hidden="1" customHeight="1">
      <c r="A58" s="1261" t="s">
        <v>257</v>
      </c>
      <c r="B58" s="1261" t="s">
        <v>258</v>
      </c>
      <c r="C58" s="1261" t="s">
        <v>259</v>
      </c>
      <c r="D58" s="1233"/>
      <c r="E58" s="4760"/>
      <c r="F58" s="4760"/>
      <c r="G58" s="4759"/>
      <c r="H58" s="1233"/>
      <c r="I58" s="1233"/>
      <c r="J58" s="1233"/>
      <c r="K58" s="1233"/>
      <c r="L58" s="1257"/>
      <c r="M58" s="1234"/>
      <c r="N58" s="1234"/>
      <c r="P58" s="1235"/>
      <c r="Q58" s="1236"/>
      <c r="R58" s="1235"/>
      <c r="S58" s="1241"/>
      <c r="T58" s="1244" t="s">
        <v>555</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07"/>
      <c r="AX58" s="707" t="str">
        <f t="shared" si="3"/>
        <v>Добавить источник для дифференциации</v>
      </c>
      <c r="AY58" s="707"/>
      <c r="AZ58" s="707"/>
    </row>
    <row r="59" spans="1:52" s="1946" customFormat="1" ht="0" hidden="1" customHeight="1">
      <c r="A59" s="1261" t="s">
        <v>257</v>
      </c>
      <c r="B59" s="1261" t="s">
        <v>258</v>
      </c>
      <c r="C59" s="1233"/>
      <c r="D59" s="1233"/>
      <c r="E59" s="4760"/>
      <c r="F59" s="4759"/>
      <c r="G59" s="1233"/>
      <c r="H59" s="1233"/>
      <c r="I59" s="1233"/>
      <c r="J59" s="1233"/>
      <c r="K59" s="1233"/>
      <c r="L59" s="1257"/>
      <c r="M59" s="1240"/>
      <c r="N59" s="1240"/>
      <c r="P59" s="1235"/>
      <c r="Q59" s="1236"/>
      <c r="R59" s="1235"/>
      <c r="S59" s="1241"/>
      <c r="T59" s="1244" t="s">
        <v>316</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07"/>
      <c r="AX59" s="707" t="str">
        <f t="shared" si="3"/>
        <v>Добавить централизованную систему для дифференциации</v>
      </c>
      <c r="AY59" s="707"/>
      <c r="AZ59" s="707"/>
    </row>
    <row r="60" spans="1:52" s="1821" customFormat="1" ht="0" hidden="1" customHeight="1">
      <c r="A60" s="1261" t="s">
        <v>257</v>
      </c>
      <c r="B60" s="1261"/>
      <c r="C60" s="1261"/>
      <c r="D60" s="1261"/>
      <c r="E60" s="4760"/>
      <c r="F60" s="1261"/>
      <c r="G60" s="1261"/>
      <c r="H60" s="1261"/>
      <c r="I60" s="1261"/>
      <c r="J60" s="1261"/>
      <c r="K60" s="1261"/>
      <c r="L60" s="1264"/>
      <c r="M60" s="1240"/>
      <c r="N60" s="1240"/>
      <c r="O60" s="445"/>
      <c r="P60" s="314"/>
      <c r="Q60" s="1262"/>
      <c r="R60" s="314"/>
      <c r="S60" s="1241"/>
      <c r="T60" s="1244" t="s">
        <v>317</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27"/>
      <c r="AX60" s="427" t="str">
        <f t="shared" si="3"/>
        <v>Добавить территорию для дифференциации</v>
      </c>
      <c r="AY60" s="427"/>
      <c r="AZ60" s="427"/>
    </row>
    <row r="61" spans="1:52" s="1821" customFormat="1" ht="0" hidden="1" customHeight="1">
      <c r="A61" s="1261" t="s">
        <v>257</v>
      </c>
      <c r="B61" s="1261"/>
      <c r="C61" s="1261"/>
      <c r="D61" s="1261"/>
      <c r="E61" s="4759"/>
      <c r="F61" s="1261"/>
      <c r="G61" s="1261"/>
      <c r="H61" s="1261"/>
      <c r="I61" s="1261"/>
      <c r="J61" s="1261"/>
      <c r="K61" s="1261"/>
      <c r="L61" s="1264"/>
      <c r="M61" s="1240"/>
      <c r="N61" s="1240"/>
      <c r="O61" s="445"/>
      <c r="P61" s="314"/>
      <c r="Q61" s="1262"/>
      <c r="R61" s="314"/>
      <c r="S61" s="1241"/>
      <c r="T61" s="1244" t="s">
        <v>317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27"/>
      <c r="AX61" s="427" t="str">
        <f t="shared" si="3"/>
        <v>Добавить территорию для дифференциации</v>
      </c>
      <c r="AY61" s="427"/>
      <c r="AZ61" s="427"/>
    </row>
    <row r="62" spans="1:52" s="1946" customFormat="1" ht="0" hidden="1" customHeight="1">
      <c r="A62" s="1233"/>
      <c r="B62" s="1233"/>
      <c r="C62" s="1233"/>
      <c r="D62" s="1233"/>
      <c r="E62" s="1261"/>
      <c r="F62" s="1233"/>
      <c r="G62" s="1233"/>
      <c r="H62" s="1233"/>
      <c r="I62" s="1233"/>
      <c r="J62" s="1233"/>
      <c r="K62" s="1233"/>
      <c r="L62" s="1257"/>
      <c r="M62" s="1240"/>
      <c r="N62" s="1240"/>
      <c r="P62" s="1235"/>
      <c r="Q62" s="1236"/>
      <c r="R62" s="1235"/>
      <c r="S62" s="1241"/>
      <c r="T62" s="1244" t="s">
        <v>407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07"/>
      <c r="AX62" s="707" t="str">
        <f t="shared" si="3"/>
        <v>Добавить наименование тарифа</v>
      </c>
      <c r="AY62" s="707"/>
      <c r="AZ62" s="707"/>
    </row>
    <row r="63" spans="1:52" ht="11.25" customHeight="1">
      <c r="M63" s="1061"/>
      <c r="N63" s="1061"/>
      <c r="O63" s="463"/>
      <c r="P63" s="1061"/>
      <c r="Q63" s="1061"/>
      <c r="R63" s="1056"/>
      <c r="S63" s="1056"/>
      <c r="AV63" s="1056"/>
      <c r="AW63" s="1056"/>
      <c r="AX63" s="1056"/>
      <c r="AY63" s="1056"/>
      <c r="AZ63" s="1056"/>
    </row>
    <row r="64" spans="1:52" ht="18.75" customHeight="1">
      <c r="O64" s="463"/>
      <c r="S64" s="1165"/>
      <c r="T64" s="4779"/>
      <c r="U64" s="4779"/>
      <c r="V64" s="4779"/>
      <c r="W64" s="4779"/>
      <c r="X64" s="4779"/>
      <c r="Y64" s="4779"/>
      <c r="Z64" s="4779"/>
      <c r="AA64" s="4779"/>
      <c r="AB64" s="4779"/>
      <c r="AC64" s="4779"/>
      <c r="AD64" s="4779"/>
      <c r="AE64" s="4779"/>
      <c r="AF64" s="4779"/>
      <c r="AG64" s="4779"/>
      <c r="AH64" s="4779"/>
      <c r="AI64" s="4779"/>
      <c r="AJ64" s="4779"/>
      <c r="AK64" s="4779"/>
      <c r="AL64" s="4779"/>
      <c r="AM64" s="4779"/>
      <c r="AN64" s="4779"/>
      <c r="AO64" s="4779"/>
      <c r="AP64" s="4779"/>
      <c r="AQ64" s="4779"/>
      <c r="AR64" s="4779"/>
      <c r="AS64" s="4779"/>
      <c r="AT64" s="4779"/>
      <c r="AU64" s="4779"/>
    </row>
    <row r="65" spans="15:47" ht="19.5" customHeight="1">
      <c r="O65" s="463"/>
      <c r="T65" s="4779"/>
      <c r="U65" s="4779"/>
      <c r="V65" s="4779"/>
      <c r="W65" s="4779"/>
      <c r="X65" s="4779"/>
      <c r="Y65" s="4779"/>
      <c r="Z65" s="4779"/>
      <c r="AA65" s="4779"/>
      <c r="AB65" s="4779"/>
      <c r="AC65" s="4779"/>
      <c r="AD65" s="4779"/>
      <c r="AE65" s="4779"/>
      <c r="AF65" s="4779"/>
      <c r="AG65" s="4779"/>
      <c r="AH65" s="4779"/>
      <c r="AI65" s="4779"/>
      <c r="AJ65" s="4779"/>
      <c r="AK65" s="4779"/>
      <c r="AL65" s="4779"/>
      <c r="AM65" s="4779"/>
      <c r="AN65" s="4779"/>
      <c r="AO65" s="4779"/>
      <c r="AP65" s="4779"/>
      <c r="AQ65" s="4779"/>
      <c r="AR65" s="4779"/>
      <c r="AS65" s="4779"/>
      <c r="AT65" s="4779"/>
      <c r="AU65" s="4779"/>
    </row>
    <row r="66" spans="15:47" ht="14.25" customHeight="1">
      <c r="O66" s="46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row>
    <row r="67" spans="15:47" ht="18.75" customHeight="1">
      <c r="O67" s="463"/>
      <c r="T67" s="4779"/>
      <c r="U67" s="4779"/>
      <c r="V67" s="4779"/>
      <c r="W67" s="4779"/>
      <c r="X67" s="4779"/>
      <c r="Y67" s="4779"/>
      <c r="Z67" s="4779"/>
      <c r="AA67" s="4779"/>
      <c r="AB67" s="4779"/>
      <c r="AC67" s="4779"/>
      <c r="AD67" s="4779"/>
      <c r="AE67" s="4779"/>
      <c r="AF67" s="4779"/>
      <c r="AG67" s="4779"/>
      <c r="AH67" s="4779"/>
      <c r="AI67" s="4779"/>
      <c r="AJ67" s="4779"/>
      <c r="AK67" s="4779"/>
      <c r="AL67" s="4779"/>
      <c r="AM67" s="4779"/>
      <c r="AN67" s="4779"/>
      <c r="AO67" s="4779"/>
      <c r="AP67" s="4779"/>
      <c r="AQ67" s="4779"/>
      <c r="AR67" s="4779"/>
      <c r="AS67" s="4779"/>
      <c r="AT67" s="4779"/>
      <c r="AU67" s="4779"/>
    </row>
    <row r="68" spans="15:47" ht="15.75" customHeight="1">
      <c r="O68" s="463"/>
      <c r="T68" s="4779"/>
      <c r="U68" s="4779"/>
      <c r="V68" s="4779"/>
      <c r="W68" s="4779"/>
      <c r="X68" s="4779"/>
      <c r="Y68" s="4779"/>
      <c r="Z68" s="4779"/>
      <c r="AA68" s="4779"/>
      <c r="AB68" s="4779"/>
      <c r="AC68" s="4779"/>
      <c r="AD68" s="4779"/>
      <c r="AE68" s="4779"/>
      <c r="AF68" s="4779"/>
      <c r="AG68" s="4779"/>
      <c r="AH68" s="4779"/>
      <c r="AI68" s="4779"/>
      <c r="AJ68" s="4779"/>
      <c r="AK68" s="4779"/>
      <c r="AL68" s="4779"/>
      <c r="AM68" s="4779"/>
      <c r="AN68" s="4779"/>
      <c r="AO68" s="4779"/>
      <c r="AP68" s="4779"/>
      <c r="AQ68" s="4779"/>
      <c r="AR68" s="4779"/>
      <c r="AS68" s="4779"/>
      <c r="AT68" s="4779"/>
      <c r="AU68" s="4779"/>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0" hidden="1" customWidth="1"/>
    <col min="13" max="14" width="12.28515625" style="1948" hidden="1" customWidth="1"/>
    <col min="15" max="15" width="23.42578125" style="1948" hidden="1" customWidth="1"/>
    <col min="16" max="16" width="3.7109375" style="1961"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341"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39"/>
      <c r="Q3" s="278"/>
      <c r="R3" s="279"/>
      <c r="S3" s="1341"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341" t="e">
        <f>INDEX(PT_DIFFERENTIATION_NUM_CS,MATCH(C4,PT_DIFFERENTIATION_CS_ID,0))</f>
        <v>#N/A</v>
      </c>
      <c r="T4" s="230" t="s">
        <v>619</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620</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38"/>
      <c r="R5" s="282"/>
      <c r="S5" s="1341"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341"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341"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340"/>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38"/>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14.25"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342"/>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37"/>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37"/>
      <c r="M19" s="1279"/>
      <c r="N19" s="1279"/>
      <c r="O19" s="1279"/>
      <c r="P19" s="1279"/>
      <c r="Q19" s="1288"/>
      <c r="R19" s="1288"/>
      <c r="S19" s="649"/>
      <c r="AB19" s="1283"/>
      <c r="AI19" s="1283"/>
      <c r="AL19" s="438"/>
      <c r="AM19" s="438"/>
      <c r="AN19" s="438"/>
      <c r="AO19" s="438"/>
      <c r="AP19" s="438"/>
    </row>
    <row r="20" spans="1:42" s="1835" customFormat="1" ht="12" hidden="1" customHeight="1">
      <c r="L20" s="1337"/>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272"/>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269" t="s">
        <v>627</v>
      </c>
      <c r="W38" s="4598" t="s">
        <v>574</v>
      </c>
      <c r="X38" s="4597"/>
      <c r="Y38" s="4598" t="s">
        <v>575</v>
      </c>
      <c r="Z38" s="4604"/>
      <c r="AA38" s="4597"/>
      <c r="AB38" s="4772"/>
      <c r="AC38" s="1269" t="s">
        <v>627</v>
      </c>
      <c r="AD38" s="4598" t="s">
        <v>574</v>
      </c>
      <c r="AE38" s="4597"/>
      <c r="AF38" s="4598" t="s">
        <v>575</v>
      </c>
      <c r="AG38" s="4604"/>
      <c r="AH38" s="4597"/>
      <c r="AI38" s="4772"/>
      <c r="AJ38" s="4775"/>
      <c r="AK38" s="4627"/>
    </row>
    <row r="39" spans="1:42" ht="33.7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269" t="s">
        <v>630</v>
      </c>
      <c r="W39" s="1129" t="s">
        <v>631</v>
      </c>
      <c r="X39" s="1129" t="s">
        <v>632</v>
      </c>
      <c r="Y39" s="1274" t="s">
        <v>585</v>
      </c>
      <c r="Z39" s="4727" t="s">
        <v>586</v>
      </c>
      <c r="AA39" s="4729"/>
      <c r="AB39" s="4773"/>
      <c r="AC39" s="1269" t="s">
        <v>630</v>
      </c>
      <c r="AD39" s="1129" t="s">
        <v>631</v>
      </c>
      <c r="AE39" s="1129" t="s">
        <v>632</v>
      </c>
      <c r="AF39" s="1274" t="s">
        <v>585</v>
      </c>
      <c r="AG39" s="4727" t="s">
        <v>586</v>
      </c>
      <c r="AH39" s="4729"/>
      <c r="AI39" s="4773"/>
      <c r="AJ39" s="4776"/>
      <c r="AK39" s="4627"/>
    </row>
    <row r="40" spans="1:42" s="1820"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270">
        <f ca="1">OFFSET(V40,0,-1)+1</f>
        <v>3</v>
      </c>
      <c r="W40" s="1270">
        <f ca="1">OFFSET(W40,0,-1)+1</f>
        <v>4</v>
      </c>
      <c r="X40" s="1270">
        <f ca="1">OFFSET(X40,0,-1)+1</f>
        <v>5</v>
      </c>
      <c r="Y40" s="1270">
        <f ca="1">OFFSET(Y40,0,-1)+1</f>
        <v>6</v>
      </c>
      <c r="Z40" s="4766">
        <f ca="1">OFFSET(Z40,0,-1)+1</f>
        <v>7</v>
      </c>
      <c r="AA40" s="4766"/>
      <c r="AB40" s="1270">
        <f ca="1">OFFSET(AB40,0,-2)+1</f>
        <v>8</v>
      </c>
      <c r="AC40" s="1270">
        <f ca="1">OFFSET(AC40,0,-1)+1</f>
        <v>9</v>
      </c>
      <c r="AD40" s="1270">
        <f ca="1">OFFSET(AD40,0,-1)+1</f>
        <v>10</v>
      </c>
      <c r="AE40" s="1270">
        <f ca="1">OFFSET(AE40,0,-1)+1</f>
        <v>11</v>
      </c>
      <c r="AF40" s="1270">
        <f ca="1">OFFSET(AF40,0,-1)+1</f>
        <v>12</v>
      </c>
      <c r="AG40" s="4766">
        <f ca="1">OFFSET(AG40,0,-1)+1</f>
        <v>13</v>
      </c>
      <c r="AH40" s="4766"/>
      <c r="AI40" s="1270">
        <f ca="1">OFFSET(AI40,0,-2)+1</f>
        <v>14</v>
      </c>
      <c r="AJ40" s="1155">
        <f ca="1">OFFSET(AJ40,0,-1)</f>
        <v>14</v>
      </c>
      <c r="AK40" s="1270">
        <f ca="1">OFFSET(AK40,0,-1)+1</f>
        <v>15</v>
      </c>
      <c r="AL40" s="438"/>
      <c r="AM40" s="438"/>
      <c r="AN40" s="438"/>
      <c r="AO40" s="438"/>
      <c r="AP40" s="438"/>
    </row>
    <row r="41" spans="1:42" ht="23.25" customHeight="1">
      <c r="A41" s="1280" t="s">
        <v>271</v>
      </c>
      <c r="B41" s="1280"/>
      <c r="C41" s="1280"/>
      <c r="D41" s="1280"/>
      <c r="E41" s="4759">
        <v>1</v>
      </c>
      <c r="F41" s="1280"/>
      <c r="G41" s="1280"/>
      <c r="H41" s="1280"/>
      <c r="I41" s="1280"/>
      <c r="J41" s="1280"/>
      <c r="K41" s="1280"/>
      <c r="L41" s="1281"/>
      <c r="M41" s="1282"/>
      <c r="N41" s="1282"/>
      <c r="O41" s="1282"/>
      <c r="P41" s="287"/>
      <c r="Q41" s="286"/>
      <c r="R41" s="281"/>
      <c r="S41" s="1275">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271</v>
      </c>
      <c r="B42" s="1280" t="s">
        <v>272</v>
      </c>
      <c r="C42" s="1280"/>
      <c r="D42" s="1280"/>
      <c r="E42" s="4760"/>
      <c r="F42" s="4759">
        <v>1</v>
      </c>
      <c r="G42" s="1280"/>
      <c r="H42" s="1280"/>
      <c r="I42" s="1280"/>
      <c r="J42" s="1280"/>
      <c r="K42" s="1280"/>
      <c r="L42" s="1281"/>
      <c r="M42" s="1282"/>
      <c r="N42" s="1282"/>
      <c r="O42" s="1282"/>
      <c r="P42" s="1273"/>
      <c r="Q42" s="278"/>
      <c r="R42" s="279"/>
      <c r="S42" s="1275"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271</v>
      </c>
      <c r="B43" s="1280" t="s">
        <v>272</v>
      </c>
      <c r="C43" s="1280" t="s">
        <v>273</v>
      </c>
      <c r="D43" s="1280"/>
      <c r="E43" s="4760"/>
      <c r="F43" s="4760"/>
      <c r="G43" s="4759">
        <v>1</v>
      </c>
      <c r="H43" s="1280"/>
      <c r="I43" s="1280"/>
      <c r="J43" s="1280"/>
      <c r="K43" s="1280"/>
      <c r="L43" s="1281"/>
      <c r="M43" s="1282"/>
      <c r="N43" s="1282"/>
      <c r="O43" s="1282"/>
      <c r="P43" s="280"/>
      <c r="Q43" s="278"/>
      <c r="R43" s="279"/>
      <c r="S43" s="1275" t="str">
        <f>INDEX(PT_DIFFERENTIATION_NUM_CS,MATCH(C43,PT_DIFFERENTIATION_CS_ID,0))</f>
        <v>..</v>
      </c>
      <c r="T43" s="230" t="s">
        <v>619</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620</v>
      </c>
      <c r="AM43" s="427"/>
      <c r="AN43" s="427" t="str">
        <f t="shared" si="1"/>
        <v>Наименование централизованной системы холодного водоснабжения</v>
      </c>
      <c r="AO43" s="427"/>
      <c r="AP43" s="427"/>
    </row>
    <row r="44" spans="1:42" ht="23.25" customHeight="1">
      <c r="A44" s="1280" t="s">
        <v>271</v>
      </c>
      <c r="B44" s="1280" t="s">
        <v>272</v>
      </c>
      <c r="C44" s="1280" t="s">
        <v>273</v>
      </c>
      <c r="D44" s="1280" t="s">
        <v>633</v>
      </c>
      <c r="E44" s="4760"/>
      <c r="F44" s="4760"/>
      <c r="G44" s="4760"/>
      <c r="H44" s="4760"/>
      <c r="I44" s="4757" t="str">
        <f>S43&amp;".1"</f>
        <v>...1</v>
      </c>
      <c r="J44" s="1280"/>
      <c r="K44" s="1280"/>
      <c r="L44" s="1281"/>
      <c r="P44" s="4758">
        <v>1</v>
      </c>
      <c r="Q44" s="1271"/>
      <c r="R44" s="282"/>
      <c r="S44" s="1275"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271</v>
      </c>
      <c r="B45" s="1280" t="s">
        <v>272</v>
      </c>
      <c r="C45" s="1280" t="s">
        <v>273</v>
      </c>
      <c r="D45" s="1280" t="s">
        <v>633</v>
      </c>
      <c r="E45" s="4760"/>
      <c r="F45" s="4760"/>
      <c r="G45" s="4760"/>
      <c r="H45" s="4760"/>
      <c r="I45" s="4780"/>
      <c r="J45" s="4757" t="str">
        <f>I44&amp;".1"</f>
        <v>...1.1</v>
      </c>
      <c r="K45" s="1280"/>
      <c r="L45" s="1281" t="s">
        <v>547</v>
      </c>
      <c r="P45" s="4758"/>
      <c r="Q45" s="4758">
        <v>1</v>
      </c>
      <c r="R45" s="283"/>
      <c r="S45" s="1275"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271</v>
      </c>
      <c r="B46" s="1280" t="s">
        <v>272</v>
      </c>
      <c r="C46" s="1280" t="s">
        <v>273</v>
      </c>
      <c r="D46" s="1280" t="s">
        <v>633</v>
      </c>
      <c r="E46" s="4760"/>
      <c r="F46" s="4760"/>
      <c r="G46" s="4760"/>
      <c r="H46" s="4760"/>
      <c r="I46" s="4780"/>
      <c r="J46" s="4780"/>
      <c r="K46" s="4757" t="str">
        <f>J45&amp;".1"</f>
        <v>...1.1.1</v>
      </c>
      <c r="L46" s="1281"/>
      <c r="P46" s="4758"/>
      <c r="Q46" s="4758"/>
      <c r="R46" s="283">
        <v>1</v>
      </c>
      <c r="S46" s="1275" t="str">
        <f>$K46</f>
        <v>...1.1.1</v>
      </c>
      <c r="T46" s="1353"/>
      <c r="U46" s="219"/>
      <c r="V46" s="1277"/>
      <c r="W46" s="1277"/>
      <c r="X46" s="1278"/>
      <c r="Y46" s="4764"/>
      <c r="Z46" s="4765" t="s">
        <v>65</v>
      </c>
      <c r="AA46" s="4764"/>
      <c r="AB46" s="4765" t="s">
        <v>65</v>
      </c>
      <c r="AC46" s="669"/>
      <c r="AD46" s="669"/>
      <c r="AE46" s="1177"/>
      <c r="AF46" s="4762"/>
      <c r="AG46" s="4608" t="s">
        <v>65</v>
      </c>
      <c r="AH46" s="4781"/>
      <c r="AI46" s="4608" t="s">
        <v>55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271</v>
      </c>
      <c r="B47" s="1280" t="s">
        <v>272</v>
      </c>
      <c r="C47" s="1280" t="s">
        <v>273</v>
      </c>
      <c r="D47" s="1280" t="s">
        <v>633</v>
      </c>
      <c r="E47" s="4760"/>
      <c r="F47" s="4760"/>
      <c r="G47" s="4760"/>
      <c r="H47" s="4760"/>
      <c r="I47" s="4780"/>
      <c r="J47" s="4780"/>
      <c r="K47" s="4757"/>
      <c r="L47" s="1281"/>
      <c r="P47" s="4758"/>
      <c r="Q47" s="4758"/>
      <c r="R47" s="283"/>
      <c r="S47" s="1276"/>
      <c r="T47" s="219"/>
      <c r="U47" s="219"/>
      <c r="V47" s="1277"/>
      <c r="W47" s="1277"/>
      <c r="X47" s="255" t="str">
        <f>Y46&amp;"-"&amp;AA46</f>
        <v>-</v>
      </c>
      <c r="Y47" s="4765"/>
      <c r="Z47" s="4765"/>
      <c r="AA47" s="4765"/>
      <c r="AB47" s="4765"/>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271</v>
      </c>
      <c r="B48" s="1280" t="s">
        <v>272</v>
      </c>
      <c r="C48" s="1280" t="s">
        <v>273</v>
      </c>
      <c r="D48" s="1280" t="s">
        <v>633</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271</v>
      </c>
      <c r="B49" s="1280" t="s">
        <v>272</v>
      </c>
      <c r="C49" s="1280" t="s">
        <v>273</v>
      </c>
      <c r="D49" s="1280" t="s">
        <v>633</v>
      </c>
      <c r="E49" s="4760"/>
      <c r="F49" s="4760"/>
      <c r="G49" s="4760"/>
      <c r="H49" s="4760"/>
      <c r="I49" s="4757"/>
      <c r="J49" s="1280"/>
      <c r="K49" s="1280"/>
      <c r="L49" s="1281"/>
      <c r="P49" s="4758"/>
      <c r="Q49" s="1271"/>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271</v>
      </c>
      <c r="B50" s="1280" t="s">
        <v>272</v>
      </c>
      <c r="C50" s="1280" t="s">
        <v>273</v>
      </c>
      <c r="D50" s="1280" t="s">
        <v>633</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271</v>
      </c>
      <c r="B51" s="1261" t="s">
        <v>272</v>
      </c>
      <c r="C51" s="1233"/>
      <c r="D51" s="1233"/>
      <c r="E51" s="4760"/>
      <c r="F51" s="4759"/>
      <c r="G51" s="1233"/>
      <c r="H51" s="1233"/>
      <c r="I51" s="1233"/>
      <c r="J51" s="1233"/>
      <c r="K51" s="1233"/>
      <c r="L51" s="1342"/>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271</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342"/>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P78"/>
  <sheetViews>
    <sheetView showGridLines="0" topLeftCell="C30" zoomScale="90" workbookViewId="0">
      <selection activeCell="F64" sqref="F64"/>
    </sheetView>
  </sheetViews>
  <sheetFormatPr defaultColWidth="9.140625" defaultRowHeight="11.25" customHeight="1"/>
  <cols>
    <col min="1" max="1" width="10.7109375" style="1807" hidden="1" customWidth="1"/>
    <col min="2" max="2" width="10.7109375" style="1804" hidden="1" customWidth="1"/>
    <col min="3" max="3" width="3.7109375" style="1817" customWidth="1"/>
    <col min="4" max="4" width="1.7109375" style="1818" customWidth="1"/>
    <col min="5" max="5" width="55.28515625" style="1818" customWidth="1"/>
    <col min="6" max="6" width="50.7109375" style="1818" customWidth="1"/>
    <col min="7" max="7" width="1.7109375" style="1808" customWidth="1"/>
    <col min="8" max="8" width="18" style="1809" hidden="1" customWidth="1"/>
    <col min="9" max="9" width="9.5703125" style="1802" customWidth="1"/>
    <col min="10" max="10" width="52.140625" style="1810" hidden="1" customWidth="1"/>
    <col min="11" max="11" width="9.140625" style="1818"/>
    <col min="12" max="12" width="78" style="1818" customWidth="1"/>
    <col min="13" max="16" width="9.140625" style="1818"/>
  </cols>
  <sheetData>
    <row r="1" spans="1:11" s="1801" customFormat="1" ht="3" customHeight="1">
      <c r="A1" s="701"/>
      <c r="B1" s="160"/>
      <c r="F1" s="161">
        <v>26354809</v>
      </c>
      <c r="G1" s="346"/>
      <c r="H1" s="7"/>
      <c r="I1" s="346"/>
      <c r="J1" s="785"/>
    </row>
    <row r="2" spans="1:11" s="1803" customFormat="1" ht="14.25" customHeight="1">
      <c r="A2" s="701"/>
      <c r="B2" s="31"/>
      <c r="E2" s="1651" t="str">
        <f>code</f>
        <v>Код отчёта: PP108.OPEN.INFO.PRICE.VOTV.EIAS</v>
      </c>
      <c r="F2" s="188"/>
      <c r="G2" s="164"/>
      <c r="H2" s="164"/>
      <c r="I2" s="164"/>
      <c r="J2" s="786"/>
      <c r="K2" s="164"/>
    </row>
    <row r="3" spans="1:11" ht="14.25" customHeight="1">
      <c r="E3" s="165" t="str">
        <f>version</f>
        <v>Версия отчёта: 1.0.5</v>
      </c>
      <c r="F3" s="188"/>
      <c r="G3" s="688"/>
      <c r="H3" s="688"/>
      <c r="I3" s="688"/>
      <c r="J3" s="787"/>
      <c r="K3" s="22"/>
    </row>
    <row r="4" spans="1:11" s="1806" customFormat="1" ht="6" customHeight="1">
      <c r="A4" s="702"/>
      <c r="B4" s="152"/>
      <c r="C4" s="153"/>
      <c r="D4" s="154"/>
      <c r="E4" s="162"/>
      <c r="F4" s="163"/>
      <c r="G4" s="689"/>
      <c r="H4" s="344"/>
      <c r="I4" s="346"/>
      <c r="J4" s="788"/>
    </row>
    <row r="5" spans="1:11" ht="37.5" customHeight="1">
      <c r="D5" s="9"/>
      <c r="E5" s="4597" t="str">
        <f>NameTemplatesInTitle</f>
        <v>Показатели, подлежащие раскрытию в сфере водоотведения (цены и тарифы)</v>
      </c>
      <c r="F5" s="4598"/>
      <c r="G5" s="690"/>
      <c r="J5" s="789"/>
    </row>
    <row r="6" spans="1:11" s="1806" customFormat="1" ht="6" customHeight="1">
      <c r="A6" s="702"/>
      <c r="B6" s="152"/>
      <c r="C6" s="153"/>
      <c r="D6" s="154"/>
      <c r="E6" s="156"/>
      <c r="F6" s="157"/>
      <c r="G6" s="690"/>
      <c r="H6" s="344"/>
      <c r="I6" s="346"/>
      <c r="J6" s="788"/>
    </row>
    <row r="7" spans="1:11" ht="19.5" customHeight="1">
      <c r="D7" s="9"/>
      <c r="E7" s="326" t="s">
        <v>13</v>
      </c>
      <c r="F7" s="136" t="s">
        <v>14</v>
      </c>
      <c r="G7" s="690"/>
    </row>
    <row r="8" spans="1:11" s="1806" customFormat="1" ht="6" customHeight="1">
      <c r="A8" s="703"/>
      <c r="B8" s="152"/>
      <c r="C8" s="153"/>
      <c r="D8" s="158"/>
      <c r="E8" s="156"/>
      <c r="F8" s="159"/>
      <c r="G8" s="11"/>
      <c r="H8" s="344"/>
      <c r="I8" s="346"/>
      <c r="J8" s="791"/>
    </row>
    <row r="9" spans="1:11" s="1809" customFormat="1" ht="19.5" hidden="1" customHeight="1">
      <c r="A9" s="702"/>
      <c r="B9" s="31"/>
      <c r="C9" s="343"/>
      <c r="D9" s="345"/>
      <c r="E9" s="1066" t="s">
        <v>15</v>
      </c>
      <c r="F9" s="1052"/>
      <c r="G9" s="690"/>
      <c r="I9" s="346"/>
      <c r="J9" s="790"/>
    </row>
    <row r="10" spans="1:11" s="1811" customFormat="1" ht="6" customHeight="1">
      <c r="A10" s="703"/>
      <c r="B10" s="360"/>
      <c r="C10" s="361"/>
      <c r="D10" s="158"/>
      <c r="E10" s="156"/>
      <c r="F10" s="159"/>
      <c r="G10" s="11"/>
      <c r="H10" s="344"/>
      <c r="I10" s="346"/>
      <c r="J10" s="791"/>
    </row>
    <row r="11" spans="1:11" ht="22.5" customHeight="1">
      <c r="A11" s="4600" t="s">
        <v>16</v>
      </c>
      <c r="D11" s="9"/>
      <c r="E11" s="1066" t="s">
        <v>17</v>
      </c>
      <c r="F11" s="1812">
        <v>45292.636736111112</v>
      </c>
      <c r="G11" s="11"/>
      <c r="H11" s="691" t="s">
        <v>18</v>
      </c>
      <c r="J11" s="790" t="s">
        <v>19</v>
      </c>
    </row>
    <row r="12" spans="1:11" ht="22.5" customHeight="1">
      <c r="A12" s="4600"/>
      <c r="D12" s="9"/>
      <c r="E12" s="1066" t="s">
        <v>20</v>
      </c>
      <c r="F12" s="1812">
        <v>45657.636805555558</v>
      </c>
      <c r="G12" s="8"/>
      <c r="J12" s="790" t="s">
        <v>21</v>
      </c>
    </row>
    <row r="13" spans="1:11" s="1809" customFormat="1" ht="22.5" hidden="1" customHeight="1">
      <c r="A13" s="706" t="s">
        <v>22</v>
      </c>
      <c r="B13" s="31"/>
      <c r="C13" s="343"/>
      <c r="D13" s="345"/>
      <c r="E13" s="1687" t="s">
        <v>23</v>
      </c>
      <c r="F13" s="1643" t="s">
        <v>24</v>
      </c>
      <c r="G13" s="11"/>
      <c r="H13" s="688"/>
      <c r="I13" s="346"/>
      <c r="J13" s="1688" t="s">
        <v>25</v>
      </c>
    </row>
    <row r="14" spans="1:11" s="1809" customFormat="1" ht="27" hidden="1" customHeight="1">
      <c r="A14" s="706" t="s">
        <v>26</v>
      </c>
      <c r="B14" s="31"/>
      <c r="C14" s="343"/>
      <c r="D14" s="345"/>
      <c r="E14" s="1066" t="s">
        <v>27</v>
      </c>
      <c r="F14" s="1679"/>
      <c r="G14" s="11"/>
      <c r="H14" s="688"/>
      <c r="I14" s="346"/>
      <c r="J14" s="790" t="s">
        <v>28</v>
      </c>
    </row>
    <row r="15" spans="1:11" s="1809" customFormat="1" ht="19.5" hidden="1" customHeight="1">
      <c r="A15" s="706" t="s">
        <v>29</v>
      </c>
      <c r="B15" s="31"/>
      <c r="C15" s="343"/>
      <c r="D15" s="345"/>
      <c r="E15" s="1066" t="s">
        <v>30</v>
      </c>
      <c r="F15" s="1679"/>
      <c r="G15" s="11"/>
      <c r="H15" s="688"/>
      <c r="I15" s="346"/>
      <c r="J15" s="790" t="s">
        <v>31</v>
      </c>
    </row>
    <row r="16" spans="1:11" s="1806" customFormat="1" ht="6" customHeight="1">
      <c r="A16" s="703"/>
      <c r="B16" s="152"/>
      <c r="C16" s="153"/>
      <c r="D16" s="158"/>
      <c r="E16" s="156"/>
      <c r="F16" s="159"/>
      <c r="G16" s="11"/>
      <c r="H16" s="344"/>
      <c r="I16" s="346"/>
      <c r="J16" s="788"/>
    </row>
    <row r="17" spans="1:10" ht="19.5" customHeight="1">
      <c r="D17" s="9"/>
      <c r="E17" s="326" t="s">
        <v>32</v>
      </c>
      <c r="F17" s="1813" t="s">
        <v>33</v>
      </c>
      <c r="G17" s="8"/>
      <c r="H17" s="691" t="s">
        <v>18</v>
      </c>
    </row>
    <row r="18" spans="1:10" ht="25.5" hidden="1" customHeight="1">
      <c r="D18" s="9"/>
      <c r="E18" s="1687" t="s">
        <v>34</v>
      </c>
      <c r="F18" s="1644"/>
      <c r="G18" s="8"/>
      <c r="I18" s="692"/>
      <c r="J18" s="4599" t="s">
        <v>35</v>
      </c>
    </row>
    <row r="19" spans="1:10" ht="25.5" hidden="1" customHeight="1">
      <c r="D19" s="9"/>
      <c r="E19" s="106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4"/>
      <c r="G19" s="8"/>
      <c r="I19" s="692"/>
      <c r="J19" s="4599"/>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9"/>
      <c r="J20" s="789" t="s">
        <v>36</v>
      </c>
    </row>
    <row r="21" spans="1:10" ht="19.5" customHeight="1">
      <c r="D21" s="9"/>
      <c r="E21" s="326" t="str">
        <f>"Дата "&amp;IF(TEMPLATE_GROUP="P","документа","подачи заявления")&amp;" об утверждении тарифов"</f>
        <v>Дата документа об утверждении тарифов</v>
      </c>
      <c r="F21" s="1812">
        <v>45279.639965277776</v>
      </c>
      <c r="G21" s="8"/>
      <c r="I21" s="693"/>
    </row>
    <row r="22" spans="1:10" ht="19.5" customHeight="1">
      <c r="D22" s="9"/>
      <c r="E22" s="326" t="str">
        <f>"Номер "&amp;IF(TEMPLATE_GROUP="P","документа","подачи заявления")&amp;" об утверждении тарифов"</f>
        <v>Номер документа об утверждении тарифов</v>
      </c>
      <c r="F22" s="137" t="s">
        <v>37</v>
      </c>
      <c r="G22" s="8"/>
      <c r="I22" s="693"/>
    </row>
    <row r="23" spans="1:10" ht="22.5" customHeight="1">
      <c r="D23" s="9"/>
      <c r="E23" s="326" t="s">
        <v>38</v>
      </c>
      <c r="F23" s="137" t="s">
        <v>39</v>
      </c>
      <c r="G23" s="8"/>
    </row>
    <row r="24" spans="1:10" ht="19.5" customHeight="1">
      <c r="D24" s="9"/>
      <c r="E24" s="326"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9" t="s">
        <v>42</v>
      </c>
    </row>
    <row r="26" spans="1:10" ht="19.5" hidden="1" customHeight="1">
      <c r="D26" s="9"/>
      <c r="E26" s="326" t="str">
        <f>"Дата "&amp;IF(TEMPLATE_GROUP="P","принятия решения","подачи заявления")&amp;" об изменении тарифов"</f>
        <v>Дата принятия решения об изменении тарифов</v>
      </c>
      <c r="F26" s="1644"/>
      <c r="G26" s="8"/>
    </row>
    <row r="27" spans="1:10" ht="19.5" hidden="1" customHeight="1">
      <c r="D27" s="9"/>
      <c r="E27" s="1066"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6" t="s">
        <v>43</v>
      </c>
      <c r="F28" s="139"/>
      <c r="G28" s="8"/>
    </row>
    <row r="29" spans="1:10" ht="19.5" hidden="1" customHeight="1">
      <c r="D29" s="9"/>
      <c r="E29" s="326" t="s">
        <v>40</v>
      </c>
      <c r="F29" s="139"/>
      <c r="G29" s="8"/>
    </row>
    <row r="30" spans="1:10" s="1806" customFormat="1" ht="6" customHeight="1">
      <c r="A30" s="703"/>
      <c r="B30" s="152"/>
      <c r="C30" s="153"/>
      <c r="D30" s="158"/>
      <c r="E30" s="156"/>
      <c r="F30" s="159"/>
      <c r="G30" s="11"/>
      <c r="H30" s="344"/>
      <c r="I30" s="346"/>
      <c r="J30" s="788"/>
    </row>
    <row r="31" spans="1:10" ht="19.5" customHeight="1">
      <c r="C31" s="12"/>
      <c r="D31" s="13"/>
      <c r="E31" s="326" t="s">
        <v>44</v>
      </c>
      <c r="F31" s="138" t="s">
        <v>45</v>
      </c>
      <c r="G31" s="694"/>
    </row>
    <row r="32" spans="1:10" ht="19.5" hidden="1" customHeight="1">
      <c r="C32" s="12"/>
      <c r="D32" s="13"/>
      <c r="E32" s="327" t="s">
        <v>46</v>
      </c>
      <c r="F32" s="1678"/>
      <c r="G32" s="694"/>
    </row>
    <row r="33" spans="1:10" ht="19.5" customHeight="1">
      <c r="C33" s="12"/>
      <c r="D33" s="13"/>
      <c r="E33" s="326" t="s">
        <v>47</v>
      </c>
      <c r="F33" s="138" t="s">
        <v>48</v>
      </c>
      <c r="G33" s="694"/>
    </row>
    <row r="34" spans="1:10" ht="19.5" customHeight="1">
      <c r="C34" s="12"/>
      <c r="D34" s="13"/>
      <c r="E34" s="326" t="s">
        <v>49</v>
      </c>
      <c r="F34" s="138" t="s">
        <v>50</v>
      </c>
      <c r="G34" s="694"/>
      <c r="H34" s="14"/>
    </row>
    <row r="35" spans="1:10" s="1806" customFormat="1" ht="11.25" customHeight="1">
      <c r="A35" s="703"/>
      <c r="B35" s="152"/>
      <c r="C35" s="153"/>
      <c r="D35" s="158"/>
      <c r="E35" s="156"/>
      <c r="F35" s="159"/>
      <c r="G35" s="11"/>
      <c r="H35" s="344"/>
      <c r="I35" s="346"/>
      <c r="J35" s="788"/>
    </row>
    <row r="36" spans="1:10" ht="19.5" hidden="1" customHeight="1">
      <c r="A36" s="793"/>
      <c r="D36" s="13"/>
      <c r="E36" s="326" t="s">
        <v>51</v>
      </c>
      <c r="F36" s="274"/>
      <c r="G36" s="11"/>
    </row>
    <row r="37" spans="1:10" ht="19.5" customHeight="1">
      <c r="A37" s="793"/>
      <c r="D37" s="13"/>
      <c r="E37" s="326" t="s">
        <v>52</v>
      </c>
      <c r="F37" s="1814" t="s">
        <v>53</v>
      </c>
      <c r="G37" s="11"/>
    </row>
    <row r="38" spans="1:10" s="1806" customFormat="1" ht="6" customHeight="1">
      <c r="A38" s="703"/>
      <c r="B38" s="152"/>
      <c r="C38" s="153"/>
      <c r="D38" s="154"/>
      <c r="E38" s="155"/>
      <c r="F38" s="961"/>
      <c r="G38" s="8"/>
      <c r="H38" s="344"/>
      <c r="I38" s="346"/>
      <c r="J38" s="790"/>
    </row>
    <row r="39" spans="1:10" ht="22.5" customHeight="1">
      <c r="A39" s="703"/>
      <c r="D39" s="9"/>
      <c r="E39" s="326" t="s">
        <v>54</v>
      </c>
      <c r="F39" s="630" t="s">
        <v>55</v>
      </c>
      <c r="G39" s="8"/>
      <c r="H39" s="691" t="s">
        <v>18</v>
      </c>
    </row>
    <row r="40" spans="1:10" s="1811" customFormat="1" ht="6" hidden="1" customHeight="1">
      <c r="A40" s="702"/>
      <c r="B40" s="360"/>
      <c r="C40" s="361"/>
      <c r="D40" s="362"/>
      <c r="E40" s="363"/>
      <c r="F40" s="961"/>
      <c r="G40" s="8"/>
      <c r="H40" s="344"/>
      <c r="I40" s="346"/>
      <c r="J40" s="790"/>
    </row>
    <row r="41" spans="1:10" s="1809" customFormat="1" ht="19.5" hidden="1" customHeight="1">
      <c r="A41" s="706" t="s">
        <v>22</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30" t="s">
        <v>55</v>
      </c>
      <c r="G41" s="8"/>
      <c r="I41" s="346"/>
      <c r="J41" s="790"/>
    </row>
    <row r="42" spans="1:10" s="1811" customFormat="1" ht="6" hidden="1" customHeight="1">
      <c r="A42" s="702"/>
      <c r="B42" s="360"/>
      <c r="C42" s="361"/>
      <c r="D42" s="362"/>
      <c r="E42" s="363"/>
      <c r="F42" s="961"/>
      <c r="G42" s="8"/>
      <c r="H42" s="344"/>
      <c r="I42" s="346"/>
      <c r="J42" s="788"/>
    </row>
    <row r="43" spans="1:10" s="1809" customFormat="1" ht="22.5" hidden="1" customHeight="1">
      <c r="A43" s="702"/>
      <c r="B43" s="348"/>
      <c r="C43" s="343"/>
      <c r="D43" s="345"/>
      <c r="E43" s="326" t="s">
        <v>56</v>
      </c>
      <c r="F43" s="630" t="s">
        <v>55</v>
      </c>
      <c r="G43" s="8"/>
      <c r="I43" s="346"/>
      <c r="J43" s="790"/>
    </row>
    <row r="44" spans="1:10" s="1809" customFormat="1" ht="22.5" hidden="1" customHeight="1">
      <c r="A44" s="702"/>
      <c r="B44" s="348"/>
      <c r="C44" s="343"/>
      <c r="D44" s="345"/>
      <c r="E44" s="1066" t="s">
        <v>57</v>
      </c>
      <c r="F44" s="1799"/>
      <c r="G44" s="8"/>
      <c r="I44" s="346"/>
      <c r="J44" s="790"/>
    </row>
    <row r="45" spans="1:10" s="1811" customFormat="1" ht="6" hidden="1" customHeight="1">
      <c r="A45" s="702"/>
      <c r="B45" s="360"/>
      <c r="C45" s="361"/>
      <c r="D45" s="362"/>
      <c r="E45" s="363"/>
      <c r="F45" s="961"/>
      <c r="G45" s="8"/>
      <c r="H45" s="344"/>
      <c r="I45" s="346"/>
      <c r="J45" s="790"/>
    </row>
    <row r="46" spans="1:10" s="1811" customFormat="1" ht="22.5" hidden="1" customHeight="1">
      <c r="A46" s="702"/>
      <c r="B46" s="360"/>
      <c r="C46" s="361"/>
      <c r="D46" s="362"/>
      <c r="E46" s="1066" t="s">
        <v>58</v>
      </c>
      <c r="F46" s="630" t="s">
        <v>55</v>
      </c>
      <c r="G46" s="8"/>
      <c r="H46" s="344"/>
      <c r="I46" s="346"/>
      <c r="J46" s="790"/>
    </row>
    <row r="47" spans="1:10" s="1809" customFormat="1" ht="22.5" hidden="1" customHeight="1">
      <c r="A47" s="702"/>
      <c r="B47" s="348"/>
      <c r="C47" s="343"/>
      <c r="D47" s="345"/>
      <c r="E47" s="1066" t="s">
        <v>59</v>
      </c>
      <c r="F47" s="630" t="s">
        <v>55</v>
      </c>
      <c r="G47" s="8"/>
      <c r="I47" s="346"/>
      <c r="J47" s="790"/>
    </row>
    <row r="48" spans="1:10" s="1806" customFormat="1" ht="6" customHeight="1">
      <c r="A48" s="702"/>
      <c r="B48" s="152"/>
      <c r="C48" s="153"/>
      <c r="D48" s="154"/>
      <c r="E48" s="155"/>
      <c r="F48" s="961"/>
      <c r="G48" s="8"/>
      <c r="H48" s="344"/>
      <c r="I48" s="346"/>
      <c r="J48" s="790"/>
    </row>
    <row r="49" spans="1:16" ht="19.5"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30" t="s">
        <v>55</v>
      </c>
      <c r="G49" s="8"/>
    </row>
    <row r="50" spans="1:16" s="1811" customFormat="1" ht="6" hidden="1" customHeight="1">
      <c r="A50" s="703"/>
      <c r="B50" s="360"/>
      <c r="C50" s="361"/>
      <c r="D50" s="158"/>
      <c r="E50" s="156"/>
      <c r="F50" s="159"/>
      <c r="G50" s="11"/>
      <c r="H50" s="344"/>
      <c r="I50" s="346"/>
      <c r="J50" s="790"/>
    </row>
    <row r="51" spans="1:16" s="1815" customFormat="1" ht="22.5" hidden="1" customHeight="1">
      <c r="A51" s="704"/>
      <c r="B51" s="348"/>
      <c r="C51" s="457"/>
      <c r="D51" s="458"/>
      <c r="E51" s="326" t="s">
        <v>60</v>
      </c>
      <c r="F51" s="630" t="s">
        <v>55</v>
      </c>
      <c r="G51" s="459"/>
      <c r="I51" s="460"/>
      <c r="J51" s="792"/>
      <c r="P51" s="461"/>
    </row>
    <row r="52" spans="1:16" s="1811" customFormat="1" ht="6" hidden="1" customHeight="1">
      <c r="A52" s="703"/>
      <c r="B52" s="360"/>
      <c r="C52" s="361"/>
      <c r="D52" s="158"/>
      <c r="E52" s="156"/>
      <c r="F52" s="159"/>
      <c r="G52" s="11"/>
      <c r="H52" s="344"/>
      <c r="I52" s="346"/>
      <c r="J52" s="788"/>
    </row>
    <row r="53" spans="1:16" s="1815" customFormat="1" ht="22.5" hidden="1" customHeight="1">
      <c r="A53" s="704"/>
      <c r="B53" s="348"/>
      <c r="C53" s="457"/>
      <c r="D53" s="458"/>
      <c r="E53" s="326" t="s">
        <v>61</v>
      </c>
      <c r="F53" s="956" t="s">
        <v>55</v>
      </c>
      <c r="G53" s="459"/>
      <c r="I53" s="460"/>
      <c r="J53" s="792"/>
      <c r="P53" s="461"/>
    </row>
    <row r="54" spans="1:16" s="1815" customFormat="1" ht="22.5" hidden="1" customHeight="1">
      <c r="A54" s="704"/>
      <c r="B54" s="348"/>
      <c r="C54" s="457"/>
      <c r="D54" s="458"/>
      <c r="E54" s="326" t="s">
        <v>62</v>
      </c>
      <c r="F54" s="1686"/>
      <c r="G54" s="459"/>
      <c r="I54" s="460"/>
      <c r="J54" s="792"/>
      <c r="P54" s="461"/>
    </row>
    <row r="55" spans="1:16" s="1811" customFormat="1" ht="6" hidden="1" customHeight="1">
      <c r="A55" s="703"/>
      <c r="B55" s="360"/>
      <c r="C55" s="361"/>
      <c r="D55" s="158"/>
      <c r="E55" s="156"/>
      <c r="F55" s="159"/>
      <c r="G55" s="11"/>
      <c r="H55" s="344"/>
      <c r="I55" s="346"/>
      <c r="J55" s="788"/>
    </row>
    <row r="56" spans="1:16" s="1815" customFormat="1" ht="22.5" hidden="1" customHeight="1">
      <c r="A56" s="704"/>
      <c r="B56" s="348"/>
      <c r="C56" s="457"/>
      <c r="D56" s="458"/>
      <c r="E56" s="326" t="s">
        <v>63</v>
      </c>
      <c r="F56" s="956" t="s">
        <v>55</v>
      </c>
      <c r="G56" s="459"/>
      <c r="I56" s="460"/>
      <c r="J56" s="792"/>
      <c r="P56" s="461"/>
    </row>
    <row r="57" spans="1:16" s="1811" customFormat="1" ht="6" hidden="1" customHeight="1">
      <c r="A57" s="703"/>
      <c r="B57" s="360"/>
      <c r="C57" s="361"/>
      <c r="D57" s="158"/>
      <c r="E57" s="156"/>
      <c r="F57" s="159"/>
      <c r="G57" s="11"/>
      <c r="H57" s="344"/>
      <c r="I57" s="346"/>
      <c r="J57" s="788"/>
    </row>
    <row r="58" spans="1:16" s="1815" customFormat="1" ht="15" hidden="1" customHeight="1">
      <c r="A58" s="704"/>
      <c r="B58" s="348"/>
      <c r="C58" s="457"/>
      <c r="D58" s="458"/>
      <c r="E58" s="326" t="s">
        <v>64</v>
      </c>
      <c r="F58" s="956" t="s">
        <v>65</v>
      </c>
      <c r="G58" s="459"/>
      <c r="I58" s="460"/>
      <c r="J58" s="792"/>
      <c r="P58" s="461"/>
    </row>
    <row r="59" spans="1:16" s="1815" customFormat="1" ht="15" hidden="1" customHeight="1">
      <c r="A59" s="704"/>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92"/>
      <c r="G59" s="459"/>
      <c r="I59" s="460"/>
      <c r="J59" s="792"/>
      <c r="P59" s="461"/>
    </row>
    <row r="60" spans="1:16" s="1815" customFormat="1" ht="15" hidden="1" customHeight="1">
      <c r="A60" s="704"/>
      <c r="B60" s="348"/>
      <c r="C60" s="457"/>
      <c r="D60" s="458"/>
      <c r="E60" s="1066" t="s">
        <v>66</v>
      </c>
      <c r="F60" s="1052"/>
      <c r="G60" s="459"/>
      <c r="I60" s="460"/>
      <c r="J60" s="792"/>
      <c r="P60" s="461"/>
    </row>
    <row r="61" spans="1:16" s="1811" customFormat="1" ht="6" hidden="1" customHeight="1">
      <c r="A61" s="703"/>
      <c r="B61" s="360"/>
      <c r="C61" s="361"/>
      <c r="D61" s="362"/>
      <c r="E61" s="363"/>
      <c r="F61" s="961"/>
      <c r="G61" s="8"/>
      <c r="H61" s="344"/>
      <c r="I61" s="346"/>
      <c r="J61" s="790"/>
    </row>
    <row r="62" spans="1:16" s="1809" customFormat="1" ht="33.75" hidden="1" customHeight="1">
      <c r="A62" s="703"/>
      <c r="B62" s="31"/>
      <c r="C62" s="343"/>
      <c r="D62" s="345"/>
      <c r="E62" s="1066" t="s">
        <v>67</v>
      </c>
      <c r="F62" s="1583" t="s">
        <v>65</v>
      </c>
      <c r="G62" s="8"/>
      <c r="H62" s="691" t="s">
        <v>18</v>
      </c>
      <c r="I62" s="346"/>
      <c r="J62" s="790"/>
    </row>
    <row r="63" spans="1:16" s="1806" customFormat="1" ht="6" customHeight="1">
      <c r="A63" s="703"/>
      <c r="B63" s="152"/>
      <c r="C63" s="153"/>
      <c r="D63" s="158"/>
      <c r="E63" s="156"/>
      <c r="F63" s="159"/>
      <c r="G63" s="11"/>
      <c r="H63" s="344"/>
      <c r="I63" s="346"/>
      <c r="J63" s="788"/>
    </row>
    <row r="64" spans="1:16" ht="19.5" customHeight="1">
      <c r="A64" s="705"/>
      <c r="B64" s="32"/>
      <c r="D64" s="16"/>
      <c r="E64" s="326" t="s">
        <v>68</v>
      </c>
      <c r="F64" s="137" t="s">
        <v>69</v>
      </c>
      <c r="G64" s="11"/>
    </row>
    <row r="65" spans="1:9" ht="19.5" customHeight="1">
      <c r="A65" s="705"/>
      <c r="B65" s="32"/>
      <c r="D65" s="16"/>
      <c r="E65" s="326" t="s">
        <v>70</v>
      </c>
      <c r="F65" s="137" t="s">
        <v>71</v>
      </c>
      <c r="G65" s="11"/>
    </row>
    <row r="66" spans="1:9" ht="35.25" customHeight="1">
      <c r="D66" s="9"/>
      <c r="E66" s="328" t="s">
        <v>72</v>
      </c>
      <c r="F66" s="962"/>
      <c r="G66" s="8"/>
    </row>
    <row r="67" spans="1:9" ht="19.5" customHeight="1">
      <c r="A67" s="705"/>
      <c r="D67" s="345"/>
      <c r="E67" s="326" t="s">
        <v>73</v>
      </c>
      <c r="F67" s="190" t="s">
        <v>74</v>
      </c>
      <c r="G67" s="11"/>
    </row>
    <row r="68" spans="1:9" ht="19.5" customHeight="1">
      <c r="A68" s="705"/>
      <c r="B68" s="32"/>
      <c r="D68" s="16"/>
      <c r="E68" s="326" t="s">
        <v>75</v>
      </c>
      <c r="F68" s="190" t="s">
        <v>76</v>
      </c>
      <c r="G68" s="11"/>
    </row>
    <row r="69" spans="1:9" ht="19.5" customHeight="1">
      <c r="A69" s="705"/>
      <c r="B69" s="32"/>
      <c r="D69" s="16"/>
      <c r="E69" s="326" t="s">
        <v>77</v>
      </c>
      <c r="F69" s="190" t="s">
        <v>78</v>
      </c>
      <c r="G69" s="11"/>
    </row>
    <row r="70" spans="1:9" ht="19.5" customHeight="1">
      <c r="D70" s="345"/>
      <c r="E70" s="326" t="s">
        <v>79</v>
      </c>
      <c r="F70" s="1816" t="s">
        <v>80</v>
      </c>
      <c r="G70" s="8"/>
    </row>
    <row r="71" spans="1:9" ht="20.25" customHeight="1">
      <c r="A71" s="705"/>
      <c r="D71" s="8"/>
      <c r="F71" s="59"/>
      <c r="G71" s="11"/>
    </row>
    <row r="72" spans="1:9" ht="19.5" customHeight="1">
      <c r="A72" s="705"/>
      <c r="B72" s="32"/>
      <c r="D72" s="16"/>
      <c r="E72" s="15"/>
      <c r="F72" s="60"/>
      <c r="G72" s="11"/>
    </row>
    <row r="73" spans="1:9" ht="19.5" customHeight="1">
      <c r="A73" s="705"/>
      <c r="B73" s="32"/>
      <c r="D73" s="16"/>
      <c r="E73" s="15"/>
      <c r="F73" s="60"/>
      <c r="G73" s="11"/>
    </row>
    <row r="74" spans="1:9" ht="19.5" customHeight="1">
      <c r="A74" s="705"/>
      <c r="B74" s="32"/>
      <c r="D74" s="16"/>
      <c r="E74" s="20"/>
      <c r="F74" s="60"/>
      <c r="G74" s="11"/>
    </row>
    <row r="75" spans="1:9" ht="19.5" customHeight="1">
      <c r="A75" s="705"/>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avbelyanushkina@bk.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2" hidden="1" customWidth="1"/>
    <col min="13" max="14" width="12.28515625" style="1948" hidden="1" customWidth="1"/>
    <col min="15" max="15" width="23.42578125" style="1948" hidden="1" customWidth="1"/>
    <col min="16" max="16" width="3.7109375" style="1963"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371"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67"/>
      <c r="Q3" s="278"/>
      <c r="R3" s="279"/>
      <c r="S3" s="1371"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371" t="e">
        <f>INDEX(PT_DIFFERENTIATION_NUM_CS,MATCH(C4,PT_DIFFERENTIATION_CS_ID,0))</f>
        <v>#N/A</v>
      </c>
      <c r="T4" s="230" t="s">
        <v>619</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620</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64"/>
      <c r="R5" s="282"/>
      <c r="S5" s="1371"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371"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371"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370"/>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64"/>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372"/>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61"/>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61"/>
      <c r="M19" s="1279"/>
      <c r="N19" s="1279"/>
      <c r="O19" s="1279"/>
      <c r="P19" s="1279"/>
      <c r="Q19" s="1288"/>
      <c r="R19" s="1288"/>
      <c r="S19" s="649"/>
      <c r="AB19" s="1283"/>
      <c r="AI19" s="1283"/>
      <c r="AL19" s="438"/>
      <c r="AM19" s="438"/>
      <c r="AN19" s="438"/>
      <c r="AO19" s="438"/>
      <c r="AP19" s="438"/>
    </row>
    <row r="20" spans="1:42" s="1835" customFormat="1" ht="12" hidden="1" customHeight="1">
      <c r="L20" s="1361"/>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66" t="s">
        <v>627</v>
      </c>
      <c r="W38" s="4598" t="s">
        <v>574</v>
      </c>
      <c r="X38" s="4597"/>
      <c r="Y38" s="4598" t="s">
        <v>575</v>
      </c>
      <c r="Z38" s="4604"/>
      <c r="AA38" s="4597"/>
      <c r="AB38" s="4772"/>
      <c r="AC38" s="1366" t="s">
        <v>627</v>
      </c>
      <c r="AD38" s="4598" t="s">
        <v>574</v>
      </c>
      <c r="AE38" s="4597"/>
      <c r="AF38" s="4598" t="s">
        <v>575</v>
      </c>
      <c r="AG38" s="4604"/>
      <c r="AH38" s="4597"/>
      <c r="AI38" s="4772"/>
      <c r="AJ38" s="4775"/>
      <c r="AK38" s="4627"/>
    </row>
    <row r="39" spans="1:42" ht="33.7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66" t="s">
        <v>630</v>
      </c>
      <c r="W39" s="1129" t="s">
        <v>631</v>
      </c>
      <c r="X39" s="1129" t="s">
        <v>632</v>
      </c>
      <c r="Y39" s="1369" t="s">
        <v>585</v>
      </c>
      <c r="Z39" s="4727" t="s">
        <v>586</v>
      </c>
      <c r="AA39" s="4729"/>
      <c r="AB39" s="4773"/>
      <c r="AC39" s="1366" t="s">
        <v>630</v>
      </c>
      <c r="AD39" s="1129" t="s">
        <v>631</v>
      </c>
      <c r="AE39" s="1129" t="s">
        <v>632</v>
      </c>
      <c r="AF39" s="1369" t="s">
        <v>585</v>
      </c>
      <c r="AG39" s="4727" t="s">
        <v>586</v>
      </c>
      <c r="AH39" s="4729"/>
      <c r="AI39" s="4773"/>
      <c r="AJ39" s="4776"/>
      <c r="AK39" s="4627"/>
    </row>
    <row r="40" spans="1:42" s="1820"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65">
        <f ca="1">OFFSET(V40,0,-1)+1</f>
        <v>3</v>
      </c>
      <c r="W40" s="1365">
        <f ca="1">OFFSET(W40,0,-1)+1</f>
        <v>4</v>
      </c>
      <c r="X40" s="1365">
        <f ca="1">OFFSET(X40,0,-1)+1</f>
        <v>5</v>
      </c>
      <c r="Y40" s="1365">
        <f ca="1">OFFSET(Y40,0,-1)+1</f>
        <v>6</v>
      </c>
      <c r="Z40" s="4766">
        <f ca="1">OFFSET(Z40,0,-1)+1</f>
        <v>7</v>
      </c>
      <c r="AA40" s="4766"/>
      <c r="AB40" s="1365">
        <f ca="1">OFFSET(AB40,0,-2)+1</f>
        <v>8</v>
      </c>
      <c r="AC40" s="1365">
        <f ca="1">OFFSET(AC40,0,-1)+1</f>
        <v>9</v>
      </c>
      <c r="AD40" s="1365">
        <f ca="1">OFFSET(AD40,0,-1)+1</f>
        <v>10</v>
      </c>
      <c r="AE40" s="1365">
        <f ca="1">OFFSET(AE40,0,-1)+1</f>
        <v>11</v>
      </c>
      <c r="AF40" s="1365">
        <f ca="1">OFFSET(AF40,0,-1)+1</f>
        <v>12</v>
      </c>
      <c r="AG40" s="4766">
        <f ca="1">OFFSET(AG40,0,-1)+1</f>
        <v>13</v>
      </c>
      <c r="AH40" s="4766"/>
      <c r="AI40" s="1365">
        <f ca="1">OFFSET(AI40,0,-2)+1</f>
        <v>14</v>
      </c>
      <c r="AJ40" s="1155">
        <f ca="1">OFFSET(AJ40,0,-1)</f>
        <v>14</v>
      </c>
      <c r="AK40" s="1365">
        <f ca="1">OFFSET(AK40,0,-1)+1</f>
        <v>15</v>
      </c>
      <c r="AL40" s="438"/>
      <c r="AM40" s="438"/>
      <c r="AN40" s="438"/>
      <c r="AO40" s="438"/>
      <c r="AP40" s="438"/>
    </row>
    <row r="41" spans="1:42" ht="23.25" customHeight="1">
      <c r="A41" s="1280" t="s">
        <v>276</v>
      </c>
      <c r="B41" s="1280"/>
      <c r="C41" s="1280"/>
      <c r="D41" s="1280"/>
      <c r="E41" s="475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276</v>
      </c>
      <c r="B42" s="1280" t="s">
        <v>277</v>
      </c>
      <c r="C42" s="1280"/>
      <c r="D42" s="1280"/>
      <c r="E42" s="4760"/>
      <c r="F42" s="4759">
        <v>1</v>
      </c>
      <c r="G42" s="1280"/>
      <c r="H42" s="1280"/>
      <c r="I42" s="1280"/>
      <c r="J42" s="1280"/>
      <c r="K42" s="1280"/>
      <c r="L42" s="1281"/>
      <c r="M42" s="1282"/>
      <c r="N42" s="1282"/>
      <c r="O42" s="1282"/>
      <c r="P42" s="1367"/>
      <c r="Q42" s="278"/>
      <c r="R42" s="279"/>
      <c r="S42" s="1371"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276</v>
      </c>
      <c r="B43" s="1280" t="s">
        <v>277</v>
      </c>
      <c r="C43" s="1280" t="s">
        <v>278</v>
      </c>
      <c r="D43" s="1280"/>
      <c r="E43" s="4760"/>
      <c r="F43" s="4760"/>
      <c r="G43" s="4759">
        <v>1</v>
      </c>
      <c r="H43" s="1280"/>
      <c r="I43" s="1280"/>
      <c r="J43" s="1280"/>
      <c r="K43" s="1280"/>
      <c r="L43" s="1281"/>
      <c r="M43" s="1282"/>
      <c r="N43" s="1282"/>
      <c r="O43" s="1282"/>
      <c r="P43" s="280"/>
      <c r="Q43" s="278"/>
      <c r="R43" s="279"/>
      <c r="S43" s="1371" t="str">
        <f>INDEX(PT_DIFFERENTIATION_NUM_CS,MATCH(C43,PT_DIFFERENTIATION_CS_ID,0))</f>
        <v>..</v>
      </c>
      <c r="T43" s="230" t="s">
        <v>619</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620</v>
      </c>
      <c r="AM43" s="427"/>
      <c r="AN43" s="427" t="str">
        <f t="shared" si="1"/>
        <v>Наименование централизованной системы холодного водоснабжения</v>
      </c>
      <c r="AO43" s="427"/>
      <c r="AP43" s="427"/>
    </row>
    <row r="44" spans="1:42" ht="23.25" customHeight="1">
      <c r="A44" s="1280" t="s">
        <v>276</v>
      </c>
      <c r="B44" s="1280" t="s">
        <v>277</v>
      </c>
      <c r="C44" s="1280" t="s">
        <v>278</v>
      </c>
      <c r="D44" s="1280" t="s">
        <v>634</v>
      </c>
      <c r="E44" s="4760"/>
      <c r="F44" s="4760"/>
      <c r="G44" s="4760"/>
      <c r="H44" s="4760"/>
      <c r="I44" s="4757" t="str">
        <f>S43&amp;".1"</f>
        <v>...1</v>
      </c>
      <c r="J44" s="1280"/>
      <c r="K44" s="1280"/>
      <c r="L44" s="1281"/>
      <c r="P44" s="4758">
        <v>1</v>
      </c>
      <c r="Q44" s="1364"/>
      <c r="R44" s="282"/>
      <c r="S44" s="1371"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276</v>
      </c>
      <c r="B45" s="1280" t="s">
        <v>277</v>
      </c>
      <c r="C45" s="1280" t="s">
        <v>278</v>
      </c>
      <c r="D45" s="1280" t="s">
        <v>634</v>
      </c>
      <c r="E45" s="4760"/>
      <c r="F45" s="4760"/>
      <c r="G45" s="4760"/>
      <c r="H45" s="4760"/>
      <c r="I45" s="4780"/>
      <c r="J45" s="4757" t="str">
        <f>I44&amp;".1"</f>
        <v>...1.1</v>
      </c>
      <c r="K45" s="1280"/>
      <c r="L45" s="1281" t="s">
        <v>547</v>
      </c>
      <c r="P45" s="4758"/>
      <c r="Q45" s="4758">
        <v>1</v>
      </c>
      <c r="R45" s="283"/>
      <c r="S45" s="1371"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276</v>
      </c>
      <c r="B46" s="1280" t="s">
        <v>277</v>
      </c>
      <c r="C46" s="1280" t="s">
        <v>278</v>
      </c>
      <c r="D46" s="1280" t="s">
        <v>634</v>
      </c>
      <c r="E46" s="4760"/>
      <c r="F46" s="4760"/>
      <c r="G46" s="4760"/>
      <c r="H46" s="4760"/>
      <c r="I46" s="4780"/>
      <c r="J46" s="4780"/>
      <c r="K46" s="4757" t="str">
        <f>J45&amp;".1"</f>
        <v>...1.1.1</v>
      </c>
      <c r="L46" s="1281"/>
      <c r="P46" s="4758"/>
      <c r="Q46" s="4758"/>
      <c r="R46" s="283">
        <v>1</v>
      </c>
      <c r="S46" s="1371" t="str">
        <f>$K46</f>
        <v>...1.1.1</v>
      </c>
      <c r="T46" s="1353"/>
      <c r="U46" s="219"/>
      <c r="V46" s="669"/>
      <c r="W46" s="669"/>
      <c r="X46" s="1177"/>
      <c r="Y46" s="4762"/>
      <c r="Z46" s="4608" t="s">
        <v>65</v>
      </c>
      <c r="AA46" s="4762"/>
      <c r="AB46" s="4608" t="s">
        <v>65</v>
      </c>
      <c r="AC46" s="669"/>
      <c r="AD46" s="669"/>
      <c r="AE46" s="1177"/>
      <c r="AF46" s="4762"/>
      <c r="AG46" s="4608" t="s">
        <v>65</v>
      </c>
      <c r="AH46" s="4781"/>
      <c r="AI46" s="4608" t="s">
        <v>65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276</v>
      </c>
      <c r="B47" s="1280" t="s">
        <v>277</v>
      </c>
      <c r="C47" s="1280" t="s">
        <v>278</v>
      </c>
      <c r="D47" s="1280" t="s">
        <v>634</v>
      </c>
      <c r="E47" s="4760"/>
      <c r="F47" s="4760"/>
      <c r="G47" s="4760"/>
      <c r="H47" s="4760"/>
      <c r="I47" s="4780"/>
      <c r="J47" s="4780"/>
      <c r="K47" s="4757"/>
      <c r="L47" s="1281"/>
      <c r="P47" s="4758"/>
      <c r="Q47" s="4758"/>
      <c r="R47" s="283"/>
      <c r="S47" s="1370"/>
      <c r="T47" s="219"/>
      <c r="U47" s="219"/>
      <c r="V47" s="251"/>
      <c r="W47" s="251"/>
      <c r="X47" s="255" t="str">
        <f>Y46&amp;"-"&amp;AA46</f>
        <v>-</v>
      </c>
      <c r="Y47" s="4763"/>
      <c r="Z47" s="4608"/>
      <c r="AA47" s="4763"/>
      <c r="AB47" s="4608"/>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276</v>
      </c>
      <c r="B48" s="1280" t="s">
        <v>277</v>
      </c>
      <c r="C48" s="1280" t="s">
        <v>278</v>
      </c>
      <c r="D48" s="1280" t="s">
        <v>634</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276</v>
      </c>
      <c r="B49" s="1280" t="s">
        <v>277</v>
      </c>
      <c r="C49" s="1280" t="s">
        <v>278</v>
      </c>
      <c r="D49" s="1280" t="s">
        <v>634</v>
      </c>
      <c r="E49" s="4760"/>
      <c r="F49" s="4760"/>
      <c r="G49" s="4760"/>
      <c r="H49" s="4760"/>
      <c r="I49" s="4757"/>
      <c r="J49" s="1280"/>
      <c r="K49" s="1280"/>
      <c r="L49" s="1281"/>
      <c r="P49" s="4758"/>
      <c r="Q49" s="1364"/>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276</v>
      </c>
      <c r="B50" s="1280" t="s">
        <v>277</v>
      </c>
      <c r="C50" s="1280" t="s">
        <v>278</v>
      </c>
      <c r="D50" s="1280" t="s">
        <v>634</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276</v>
      </c>
      <c r="B51" s="1261" t="s">
        <v>277</v>
      </c>
      <c r="C51" s="1233"/>
      <c r="D51" s="1233"/>
      <c r="E51" s="4760"/>
      <c r="F51" s="4759"/>
      <c r="G51" s="1233"/>
      <c r="H51" s="1233"/>
      <c r="I51" s="1233"/>
      <c r="J51" s="1233"/>
      <c r="K51" s="1233"/>
      <c r="L51" s="1372"/>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276</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2" hidden="1" customWidth="1"/>
    <col min="13" max="14" width="12.28515625" style="1948" hidden="1" customWidth="1"/>
    <col min="15" max="15" width="23.42578125" style="1948" hidden="1" customWidth="1"/>
    <col min="16" max="16" width="3.7109375" style="1963"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371"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67"/>
      <c r="Q3" s="278"/>
      <c r="R3" s="279"/>
      <c r="S3" s="1371"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371" t="e">
        <f>INDEX(PT_DIFFERENTIATION_NUM_CS,MATCH(C4,PT_DIFFERENTIATION_CS_ID,0))</f>
        <v>#N/A</v>
      </c>
      <c r="T4" s="230" t="s">
        <v>619</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620</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64"/>
      <c r="R5" s="282"/>
      <c r="S5" s="1371"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371"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371"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370"/>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64"/>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372"/>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61"/>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61"/>
      <c r="M19" s="1279"/>
      <c r="N19" s="1279"/>
      <c r="O19" s="1279"/>
      <c r="P19" s="1279"/>
      <c r="Q19" s="1288"/>
      <c r="R19" s="1288"/>
      <c r="S19" s="649"/>
      <c r="AB19" s="1283"/>
      <c r="AI19" s="1283"/>
      <c r="AL19" s="438"/>
      <c r="AM19" s="438"/>
      <c r="AN19" s="438"/>
      <c r="AO19" s="438"/>
      <c r="AP19" s="438"/>
    </row>
    <row r="20" spans="1:42" s="1835" customFormat="1" ht="12" hidden="1" customHeight="1">
      <c r="L20" s="1361"/>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66" t="s">
        <v>627</v>
      </c>
      <c r="W38" s="4598" t="s">
        <v>574</v>
      </c>
      <c r="X38" s="4597"/>
      <c r="Y38" s="4598" t="s">
        <v>575</v>
      </c>
      <c r="Z38" s="4604"/>
      <c r="AA38" s="4597"/>
      <c r="AB38" s="4772"/>
      <c r="AC38" s="1366" t="s">
        <v>627</v>
      </c>
      <c r="AD38" s="4598" t="s">
        <v>574</v>
      </c>
      <c r="AE38" s="4597"/>
      <c r="AF38" s="4598" t="s">
        <v>575</v>
      </c>
      <c r="AG38" s="4604"/>
      <c r="AH38" s="4597"/>
      <c r="AI38" s="4772"/>
      <c r="AJ38" s="4775"/>
      <c r="AK38" s="4627"/>
    </row>
    <row r="39" spans="1:42" ht="33.7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66" t="s">
        <v>630</v>
      </c>
      <c r="W39" s="1129" t="s">
        <v>631</v>
      </c>
      <c r="X39" s="1129" t="s">
        <v>632</v>
      </c>
      <c r="Y39" s="1369" t="s">
        <v>585</v>
      </c>
      <c r="Z39" s="4727" t="s">
        <v>586</v>
      </c>
      <c r="AA39" s="4729"/>
      <c r="AB39" s="4773"/>
      <c r="AC39" s="1366" t="s">
        <v>630</v>
      </c>
      <c r="AD39" s="1129" t="s">
        <v>631</v>
      </c>
      <c r="AE39" s="1129" t="s">
        <v>632</v>
      </c>
      <c r="AF39" s="1369" t="s">
        <v>585</v>
      </c>
      <c r="AG39" s="4727" t="s">
        <v>586</v>
      </c>
      <c r="AH39" s="4729"/>
      <c r="AI39" s="4773"/>
      <c r="AJ39" s="4776"/>
      <c r="AK39" s="4627"/>
    </row>
    <row r="40" spans="1:42" s="1820"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65">
        <f ca="1">OFFSET(V40,0,-1)+1</f>
        <v>3</v>
      </c>
      <c r="W40" s="1365">
        <f ca="1">OFFSET(W40,0,-1)+1</f>
        <v>4</v>
      </c>
      <c r="X40" s="1365">
        <f ca="1">OFFSET(X40,0,-1)+1</f>
        <v>5</v>
      </c>
      <c r="Y40" s="1365">
        <f ca="1">OFFSET(Y40,0,-1)+1</f>
        <v>6</v>
      </c>
      <c r="Z40" s="4766">
        <f ca="1">OFFSET(Z40,0,-1)+1</f>
        <v>7</v>
      </c>
      <c r="AA40" s="4766"/>
      <c r="AB40" s="1365">
        <f ca="1">OFFSET(AB40,0,-2)+1</f>
        <v>8</v>
      </c>
      <c r="AC40" s="1365">
        <f ca="1">OFFSET(AC40,0,-1)+1</f>
        <v>9</v>
      </c>
      <c r="AD40" s="1365">
        <f ca="1">OFFSET(AD40,0,-1)+1</f>
        <v>10</v>
      </c>
      <c r="AE40" s="1365">
        <f ca="1">OFFSET(AE40,0,-1)+1</f>
        <v>11</v>
      </c>
      <c r="AF40" s="1365">
        <f ca="1">OFFSET(AF40,0,-1)+1</f>
        <v>12</v>
      </c>
      <c r="AG40" s="4766">
        <f ca="1">OFFSET(AG40,0,-1)+1</f>
        <v>13</v>
      </c>
      <c r="AH40" s="4766"/>
      <c r="AI40" s="1365">
        <f ca="1">OFFSET(AI40,0,-2)+1</f>
        <v>14</v>
      </c>
      <c r="AJ40" s="1155">
        <f ca="1">OFFSET(AJ40,0,-1)</f>
        <v>14</v>
      </c>
      <c r="AK40" s="1365">
        <f ca="1">OFFSET(AK40,0,-1)+1</f>
        <v>15</v>
      </c>
      <c r="AL40" s="438"/>
      <c r="AM40" s="438"/>
      <c r="AN40" s="438"/>
      <c r="AO40" s="438"/>
      <c r="AP40" s="438"/>
    </row>
    <row r="41" spans="1:42" ht="23.25" customHeight="1">
      <c r="A41" s="1280" t="s">
        <v>281</v>
      </c>
      <c r="B41" s="1280"/>
      <c r="C41" s="1280"/>
      <c r="D41" s="1280"/>
      <c r="E41" s="475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281</v>
      </c>
      <c r="B42" s="1280" t="s">
        <v>282</v>
      </c>
      <c r="C42" s="1280"/>
      <c r="D42" s="1280"/>
      <c r="E42" s="4760"/>
      <c r="F42" s="4759">
        <v>1</v>
      </c>
      <c r="G42" s="1280"/>
      <c r="H42" s="1280"/>
      <c r="I42" s="1280"/>
      <c r="J42" s="1280"/>
      <c r="K42" s="1280"/>
      <c r="L42" s="1281"/>
      <c r="M42" s="1282"/>
      <c r="N42" s="1282"/>
      <c r="O42" s="1282"/>
      <c r="P42" s="1367"/>
      <c r="Q42" s="278"/>
      <c r="R42" s="279"/>
      <c r="S42" s="1371"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281</v>
      </c>
      <c r="B43" s="1280" t="s">
        <v>282</v>
      </c>
      <c r="C43" s="1280" t="s">
        <v>283</v>
      </c>
      <c r="D43" s="1280"/>
      <c r="E43" s="4760"/>
      <c r="F43" s="4760"/>
      <c r="G43" s="4759">
        <v>1</v>
      </c>
      <c r="H43" s="1280"/>
      <c r="I43" s="1280"/>
      <c r="J43" s="1280"/>
      <c r="K43" s="1280"/>
      <c r="L43" s="1281"/>
      <c r="M43" s="1282"/>
      <c r="N43" s="1282"/>
      <c r="O43" s="1282"/>
      <c r="P43" s="280"/>
      <c r="Q43" s="278"/>
      <c r="R43" s="279"/>
      <c r="S43" s="1371" t="str">
        <f>INDEX(PT_DIFFERENTIATION_NUM_CS,MATCH(C43,PT_DIFFERENTIATION_CS_ID,0))</f>
        <v>..</v>
      </c>
      <c r="T43" s="230" t="s">
        <v>619</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620</v>
      </c>
      <c r="AM43" s="427"/>
      <c r="AN43" s="427" t="str">
        <f t="shared" si="1"/>
        <v>Наименование централизованной системы холодного водоснабжения</v>
      </c>
      <c r="AO43" s="427"/>
      <c r="AP43" s="427"/>
    </row>
    <row r="44" spans="1:42" ht="23.25" customHeight="1">
      <c r="A44" s="1280" t="s">
        <v>281</v>
      </c>
      <c r="B44" s="1280" t="s">
        <v>282</v>
      </c>
      <c r="C44" s="1280" t="s">
        <v>283</v>
      </c>
      <c r="D44" s="1280" t="s">
        <v>635</v>
      </c>
      <c r="E44" s="4760"/>
      <c r="F44" s="4760"/>
      <c r="G44" s="4760"/>
      <c r="H44" s="4760"/>
      <c r="I44" s="4757" t="str">
        <f>S43&amp;".1"</f>
        <v>...1</v>
      </c>
      <c r="J44" s="1280"/>
      <c r="K44" s="1280"/>
      <c r="L44" s="1281"/>
      <c r="P44" s="4758">
        <v>1</v>
      </c>
      <c r="Q44" s="1364"/>
      <c r="R44" s="282"/>
      <c r="S44" s="1371"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281</v>
      </c>
      <c r="B45" s="1280" t="s">
        <v>282</v>
      </c>
      <c r="C45" s="1280" t="s">
        <v>283</v>
      </c>
      <c r="D45" s="1280" t="s">
        <v>635</v>
      </c>
      <c r="E45" s="4760"/>
      <c r="F45" s="4760"/>
      <c r="G45" s="4760"/>
      <c r="H45" s="4760"/>
      <c r="I45" s="4780"/>
      <c r="J45" s="4757" t="str">
        <f>I44&amp;".1"</f>
        <v>...1.1</v>
      </c>
      <c r="K45" s="1280"/>
      <c r="L45" s="1281" t="s">
        <v>547</v>
      </c>
      <c r="P45" s="4758"/>
      <c r="Q45" s="4758">
        <v>1</v>
      </c>
      <c r="R45" s="283"/>
      <c r="S45" s="1371"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281</v>
      </c>
      <c r="B46" s="1280" t="s">
        <v>282</v>
      </c>
      <c r="C46" s="1280" t="s">
        <v>283</v>
      </c>
      <c r="D46" s="1280" t="s">
        <v>635</v>
      </c>
      <c r="E46" s="4760"/>
      <c r="F46" s="4760"/>
      <c r="G46" s="4760"/>
      <c r="H46" s="4760"/>
      <c r="I46" s="4780"/>
      <c r="J46" s="4780"/>
      <c r="K46" s="4757" t="str">
        <f>J45&amp;".1"</f>
        <v>...1.1.1</v>
      </c>
      <c r="L46" s="1281"/>
      <c r="P46" s="4758"/>
      <c r="Q46" s="4758"/>
      <c r="R46" s="283">
        <v>1</v>
      </c>
      <c r="S46" s="1371" t="str">
        <f>$K46</f>
        <v>...1.1.1</v>
      </c>
      <c r="T46" s="1353"/>
      <c r="U46" s="219"/>
      <c r="V46" s="669"/>
      <c r="W46" s="669"/>
      <c r="X46" s="1177"/>
      <c r="Y46" s="4762"/>
      <c r="Z46" s="4608" t="s">
        <v>65</v>
      </c>
      <c r="AA46" s="4762"/>
      <c r="AB46" s="4608" t="s">
        <v>65</v>
      </c>
      <c r="AC46" s="669"/>
      <c r="AD46" s="669"/>
      <c r="AE46" s="1177"/>
      <c r="AF46" s="4762"/>
      <c r="AG46" s="4608" t="s">
        <v>65</v>
      </c>
      <c r="AH46" s="4781"/>
      <c r="AI46" s="4608" t="s">
        <v>65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281</v>
      </c>
      <c r="B47" s="1280" t="s">
        <v>282</v>
      </c>
      <c r="C47" s="1280" t="s">
        <v>283</v>
      </c>
      <c r="D47" s="1280" t="s">
        <v>635</v>
      </c>
      <c r="E47" s="4760"/>
      <c r="F47" s="4760"/>
      <c r="G47" s="4760"/>
      <c r="H47" s="4760"/>
      <c r="I47" s="4780"/>
      <c r="J47" s="4780"/>
      <c r="K47" s="4757"/>
      <c r="L47" s="1281"/>
      <c r="P47" s="4758"/>
      <c r="Q47" s="4758"/>
      <c r="R47" s="283"/>
      <c r="S47" s="1370"/>
      <c r="T47" s="219"/>
      <c r="U47" s="219"/>
      <c r="V47" s="251"/>
      <c r="W47" s="251"/>
      <c r="X47" s="255" t="str">
        <f>Y46&amp;"-"&amp;AA46</f>
        <v>-</v>
      </c>
      <c r="Y47" s="4763"/>
      <c r="Z47" s="4608"/>
      <c r="AA47" s="4763"/>
      <c r="AB47" s="4608"/>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281</v>
      </c>
      <c r="B48" s="1280" t="s">
        <v>282</v>
      </c>
      <c r="C48" s="1280" t="s">
        <v>283</v>
      </c>
      <c r="D48" s="1280" t="s">
        <v>635</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281</v>
      </c>
      <c r="B49" s="1280" t="s">
        <v>282</v>
      </c>
      <c r="C49" s="1280" t="s">
        <v>283</v>
      </c>
      <c r="D49" s="1280" t="s">
        <v>635</v>
      </c>
      <c r="E49" s="4760"/>
      <c r="F49" s="4760"/>
      <c r="G49" s="4760"/>
      <c r="H49" s="4760"/>
      <c r="I49" s="4757"/>
      <c r="J49" s="1280"/>
      <c r="K49" s="1280"/>
      <c r="L49" s="1281"/>
      <c r="P49" s="4758"/>
      <c r="Q49" s="1364"/>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281</v>
      </c>
      <c r="B50" s="1280" t="s">
        <v>282</v>
      </c>
      <c r="C50" s="1280" t="s">
        <v>283</v>
      </c>
      <c r="D50" s="1280" t="s">
        <v>635</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281</v>
      </c>
      <c r="B51" s="1261" t="s">
        <v>282</v>
      </c>
      <c r="C51" s="1233"/>
      <c r="D51" s="1233"/>
      <c r="E51" s="4760"/>
      <c r="F51" s="4759"/>
      <c r="G51" s="1233"/>
      <c r="H51" s="1233"/>
      <c r="I51" s="1233"/>
      <c r="J51" s="1233"/>
      <c r="K51" s="1233"/>
      <c r="L51" s="1372"/>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281</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2" hidden="1" customWidth="1"/>
    <col min="13" max="14" width="12.28515625" style="1948" hidden="1" customWidth="1"/>
    <col min="15" max="15" width="23.42578125" style="1948" hidden="1" customWidth="1"/>
    <col min="16" max="16" width="3.7109375" style="1963"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371"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67"/>
      <c r="Q3" s="278"/>
      <c r="R3" s="279"/>
      <c r="S3" s="1371"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371" t="e">
        <f>INDEX(PT_DIFFERENTIATION_NUM_CS,MATCH(C4,PT_DIFFERENTIATION_CS_ID,0))</f>
        <v>#N/A</v>
      </c>
      <c r="T4" s="230" t="s">
        <v>619</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620</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64"/>
      <c r="R5" s="282"/>
      <c r="S5" s="1371"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371"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371"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370"/>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64"/>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372"/>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61"/>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61"/>
      <c r="M19" s="1279"/>
      <c r="N19" s="1279"/>
      <c r="O19" s="1279"/>
      <c r="P19" s="1279"/>
      <c r="Q19" s="1288"/>
      <c r="R19" s="1288"/>
      <c r="S19" s="649"/>
      <c r="AB19" s="1283"/>
      <c r="AI19" s="1283"/>
      <c r="AL19" s="438"/>
      <c r="AM19" s="438"/>
      <c r="AN19" s="438"/>
      <c r="AO19" s="438"/>
      <c r="AP19" s="438"/>
    </row>
    <row r="20" spans="1:42" s="1835" customFormat="1" ht="12" hidden="1" customHeight="1">
      <c r="L20" s="1361"/>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66" t="s">
        <v>627</v>
      </c>
      <c r="W38" s="4598" t="s">
        <v>574</v>
      </c>
      <c r="X38" s="4597"/>
      <c r="Y38" s="4598" t="s">
        <v>575</v>
      </c>
      <c r="Z38" s="4604"/>
      <c r="AA38" s="4597"/>
      <c r="AB38" s="4772"/>
      <c r="AC38" s="1366" t="s">
        <v>627</v>
      </c>
      <c r="AD38" s="4598" t="s">
        <v>574</v>
      </c>
      <c r="AE38" s="4597"/>
      <c r="AF38" s="4598" t="s">
        <v>575</v>
      </c>
      <c r="AG38" s="4604"/>
      <c r="AH38" s="4597"/>
      <c r="AI38" s="4772"/>
      <c r="AJ38" s="4775"/>
      <c r="AK38" s="4627"/>
    </row>
    <row r="39" spans="1:42" ht="33.7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66" t="s">
        <v>630</v>
      </c>
      <c r="W39" s="1129" t="s">
        <v>631</v>
      </c>
      <c r="X39" s="1129" t="s">
        <v>632</v>
      </c>
      <c r="Y39" s="1369" t="s">
        <v>585</v>
      </c>
      <c r="Z39" s="4727" t="s">
        <v>586</v>
      </c>
      <c r="AA39" s="4729"/>
      <c r="AB39" s="4773"/>
      <c r="AC39" s="1366" t="s">
        <v>630</v>
      </c>
      <c r="AD39" s="1129" t="s">
        <v>631</v>
      </c>
      <c r="AE39" s="1129" t="s">
        <v>632</v>
      </c>
      <c r="AF39" s="1369" t="s">
        <v>585</v>
      </c>
      <c r="AG39" s="4727" t="s">
        <v>586</v>
      </c>
      <c r="AH39" s="4729"/>
      <c r="AI39" s="4773"/>
      <c r="AJ39" s="4776"/>
      <c r="AK39" s="4627"/>
    </row>
    <row r="40" spans="1:42" s="1820"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65">
        <f ca="1">OFFSET(V40,0,-1)+1</f>
        <v>3</v>
      </c>
      <c r="W40" s="1365">
        <f ca="1">OFFSET(W40,0,-1)+1</f>
        <v>4</v>
      </c>
      <c r="X40" s="1365">
        <f ca="1">OFFSET(X40,0,-1)+1</f>
        <v>5</v>
      </c>
      <c r="Y40" s="1365">
        <f ca="1">OFFSET(Y40,0,-1)+1</f>
        <v>6</v>
      </c>
      <c r="Z40" s="4766">
        <f ca="1">OFFSET(Z40,0,-1)+1</f>
        <v>7</v>
      </c>
      <c r="AA40" s="4766"/>
      <c r="AB40" s="1365">
        <f ca="1">OFFSET(AB40,0,-2)+1</f>
        <v>8</v>
      </c>
      <c r="AC40" s="1365">
        <f ca="1">OFFSET(AC40,0,-1)+1</f>
        <v>9</v>
      </c>
      <c r="AD40" s="1365">
        <f ca="1">OFFSET(AD40,0,-1)+1</f>
        <v>10</v>
      </c>
      <c r="AE40" s="1365">
        <f ca="1">OFFSET(AE40,0,-1)+1</f>
        <v>11</v>
      </c>
      <c r="AF40" s="1365">
        <f ca="1">OFFSET(AF40,0,-1)+1</f>
        <v>12</v>
      </c>
      <c r="AG40" s="4766">
        <f ca="1">OFFSET(AG40,0,-1)+1</f>
        <v>13</v>
      </c>
      <c r="AH40" s="4766"/>
      <c r="AI40" s="1365">
        <f ca="1">OFFSET(AI40,0,-2)+1</f>
        <v>14</v>
      </c>
      <c r="AJ40" s="1155">
        <f ca="1">OFFSET(AJ40,0,-1)</f>
        <v>14</v>
      </c>
      <c r="AK40" s="1365">
        <f ca="1">OFFSET(AK40,0,-1)+1</f>
        <v>15</v>
      </c>
      <c r="AL40" s="438"/>
      <c r="AM40" s="438"/>
      <c r="AN40" s="438"/>
      <c r="AO40" s="438"/>
      <c r="AP40" s="438"/>
    </row>
    <row r="41" spans="1:42" ht="23.25" customHeight="1">
      <c r="A41" s="1280" t="s">
        <v>286</v>
      </c>
      <c r="B41" s="1280"/>
      <c r="C41" s="1280"/>
      <c r="D41" s="1280"/>
      <c r="E41" s="4759">
        <v>1</v>
      </c>
      <c r="F41" s="1280"/>
      <c r="G41" s="1280"/>
      <c r="H41" s="1280"/>
      <c r="I41" s="1280"/>
      <c r="J41" s="1280"/>
      <c r="K41" s="1280"/>
      <c r="L41" s="1281"/>
      <c r="M41" s="1282"/>
      <c r="N41" s="1282"/>
      <c r="O41" s="1282"/>
      <c r="P41" s="287"/>
      <c r="Q41" s="286"/>
      <c r="R41" s="281"/>
      <c r="S41" s="1371">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286</v>
      </c>
      <c r="B42" s="1280" t="s">
        <v>287</v>
      </c>
      <c r="C42" s="1280"/>
      <c r="D42" s="1280"/>
      <c r="E42" s="4760"/>
      <c r="F42" s="4759">
        <v>1</v>
      </c>
      <c r="G42" s="1280"/>
      <c r="H42" s="1280"/>
      <c r="I42" s="1280"/>
      <c r="J42" s="1280"/>
      <c r="K42" s="1280"/>
      <c r="L42" s="1281"/>
      <c r="M42" s="1282"/>
      <c r="N42" s="1282"/>
      <c r="O42" s="1282"/>
      <c r="P42" s="1367"/>
      <c r="Q42" s="278"/>
      <c r="R42" s="279"/>
      <c r="S42" s="1371"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286</v>
      </c>
      <c r="B43" s="1280" t="s">
        <v>287</v>
      </c>
      <c r="C43" s="1280" t="s">
        <v>288</v>
      </c>
      <c r="D43" s="1280"/>
      <c r="E43" s="4760"/>
      <c r="F43" s="4760"/>
      <c r="G43" s="4759">
        <v>1</v>
      </c>
      <c r="H43" s="1280"/>
      <c r="I43" s="1280"/>
      <c r="J43" s="1280"/>
      <c r="K43" s="1280"/>
      <c r="L43" s="1281"/>
      <c r="M43" s="1282"/>
      <c r="N43" s="1282"/>
      <c r="O43" s="1282"/>
      <c r="P43" s="280"/>
      <c r="Q43" s="278"/>
      <c r="R43" s="279"/>
      <c r="S43" s="1371" t="str">
        <f>INDEX(PT_DIFFERENTIATION_NUM_CS,MATCH(C43,PT_DIFFERENTIATION_CS_ID,0))</f>
        <v>..</v>
      </c>
      <c r="T43" s="230" t="s">
        <v>619</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620</v>
      </c>
      <c r="AM43" s="427"/>
      <c r="AN43" s="427" t="str">
        <f t="shared" si="1"/>
        <v>Наименование централизованной системы холодного водоснабжения</v>
      </c>
      <c r="AO43" s="427"/>
      <c r="AP43" s="427"/>
    </row>
    <row r="44" spans="1:42" ht="23.25" customHeight="1">
      <c r="A44" s="1280" t="s">
        <v>286</v>
      </c>
      <c r="B44" s="1280" t="s">
        <v>287</v>
      </c>
      <c r="C44" s="1280" t="s">
        <v>288</v>
      </c>
      <c r="D44" s="1280" t="s">
        <v>636</v>
      </c>
      <c r="E44" s="4760"/>
      <c r="F44" s="4760"/>
      <c r="G44" s="4760"/>
      <c r="H44" s="4760"/>
      <c r="I44" s="4757" t="str">
        <f>S43&amp;".1"</f>
        <v>...1</v>
      </c>
      <c r="J44" s="1280"/>
      <c r="K44" s="1280"/>
      <c r="L44" s="1281"/>
      <c r="P44" s="4758">
        <v>1</v>
      </c>
      <c r="Q44" s="1364"/>
      <c r="R44" s="282"/>
      <c r="S44" s="1371"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286</v>
      </c>
      <c r="B45" s="1280" t="s">
        <v>287</v>
      </c>
      <c r="C45" s="1280" t="s">
        <v>288</v>
      </c>
      <c r="D45" s="1280" t="s">
        <v>636</v>
      </c>
      <c r="E45" s="4760"/>
      <c r="F45" s="4760"/>
      <c r="G45" s="4760"/>
      <c r="H45" s="4760"/>
      <c r="I45" s="4780"/>
      <c r="J45" s="4757" t="str">
        <f>I44&amp;".1"</f>
        <v>...1.1</v>
      </c>
      <c r="K45" s="1280"/>
      <c r="L45" s="1281" t="s">
        <v>547</v>
      </c>
      <c r="P45" s="4758"/>
      <c r="Q45" s="4758">
        <v>1</v>
      </c>
      <c r="R45" s="283"/>
      <c r="S45" s="1371"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286</v>
      </c>
      <c r="B46" s="1280" t="s">
        <v>287</v>
      </c>
      <c r="C46" s="1280" t="s">
        <v>288</v>
      </c>
      <c r="D46" s="1280" t="s">
        <v>636</v>
      </c>
      <c r="E46" s="4760"/>
      <c r="F46" s="4760"/>
      <c r="G46" s="4760"/>
      <c r="H46" s="4760"/>
      <c r="I46" s="4780"/>
      <c r="J46" s="4780"/>
      <c r="K46" s="4757" t="str">
        <f>J45&amp;".1"</f>
        <v>...1.1.1</v>
      </c>
      <c r="L46" s="1281"/>
      <c r="P46" s="4758"/>
      <c r="Q46" s="4758"/>
      <c r="R46" s="283">
        <v>1</v>
      </c>
      <c r="S46" s="1371" t="str">
        <f>$K46</f>
        <v>...1.1.1</v>
      </c>
      <c r="T46" s="1353"/>
      <c r="U46" s="219"/>
      <c r="V46" s="669"/>
      <c r="W46" s="669"/>
      <c r="X46" s="1177"/>
      <c r="Y46" s="4762"/>
      <c r="Z46" s="4608" t="s">
        <v>65</v>
      </c>
      <c r="AA46" s="4762"/>
      <c r="AB46" s="4608" t="s">
        <v>65</v>
      </c>
      <c r="AC46" s="669"/>
      <c r="AD46" s="669"/>
      <c r="AE46" s="1177"/>
      <c r="AF46" s="4762"/>
      <c r="AG46" s="4608" t="s">
        <v>65</v>
      </c>
      <c r="AH46" s="4781"/>
      <c r="AI46" s="4608" t="s">
        <v>65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286</v>
      </c>
      <c r="B47" s="1280" t="s">
        <v>287</v>
      </c>
      <c r="C47" s="1280" t="s">
        <v>288</v>
      </c>
      <c r="D47" s="1280" t="s">
        <v>636</v>
      </c>
      <c r="E47" s="4760"/>
      <c r="F47" s="4760"/>
      <c r="G47" s="4760"/>
      <c r="H47" s="4760"/>
      <c r="I47" s="4780"/>
      <c r="J47" s="4780"/>
      <c r="K47" s="4757"/>
      <c r="L47" s="1281"/>
      <c r="P47" s="4758"/>
      <c r="Q47" s="4758"/>
      <c r="R47" s="283"/>
      <c r="S47" s="1370"/>
      <c r="T47" s="219"/>
      <c r="U47" s="219"/>
      <c r="V47" s="251"/>
      <c r="W47" s="251"/>
      <c r="X47" s="255" t="str">
        <f>Y46&amp;"-"&amp;AA46</f>
        <v>-</v>
      </c>
      <c r="Y47" s="4763"/>
      <c r="Z47" s="4608"/>
      <c r="AA47" s="4763"/>
      <c r="AB47" s="4608"/>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286</v>
      </c>
      <c r="B48" s="1280" t="s">
        <v>287</v>
      </c>
      <c r="C48" s="1280" t="s">
        <v>288</v>
      </c>
      <c r="D48" s="1280" t="s">
        <v>636</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286</v>
      </c>
      <c r="B49" s="1280" t="s">
        <v>287</v>
      </c>
      <c r="C49" s="1280" t="s">
        <v>288</v>
      </c>
      <c r="D49" s="1280" t="s">
        <v>636</v>
      </c>
      <c r="E49" s="4760"/>
      <c r="F49" s="4760"/>
      <c r="G49" s="4760"/>
      <c r="H49" s="4760"/>
      <c r="I49" s="4757"/>
      <c r="J49" s="1280"/>
      <c r="K49" s="1280"/>
      <c r="L49" s="1281"/>
      <c r="P49" s="4758"/>
      <c r="Q49" s="1364"/>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286</v>
      </c>
      <c r="B50" s="1280" t="s">
        <v>287</v>
      </c>
      <c r="C50" s="1280" t="s">
        <v>288</v>
      </c>
      <c r="D50" s="1280" t="s">
        <v>636</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286</v>
      </c>
      <c r="B51" s="1261" t="s">
        <v>287</v>
      </c>
      <c r="C51" s="1233"/>
      <c r="D51" s="1233"/>
      <c r="E51" s="4760"/>
      <c r="F51" s="4759"/>
      <c r="G51" s="1233"/>
      <c r="H51" s="1233"/>
      <c r="I51" s="1233"/>
      <c r="J51" s="1233"/>
      <c r="K51" s="1233"/>
      <c r="L51" s="1372"/>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286</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5" hidden="1" customWidth="1"/>
    <col min="2" max="2" width="11" style="1835" hidden="1" customWidth="1"/>
    <col min="3" max="3" width="10.5703125" style="1835" hidden="1"/>
    <col min="4" max="4" width="12.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64" hidden="1" customWidth="1"/>
    <col min="13" max="14" width="12.28515625" style="1948" hidden="1" customWidth="1"/>
    <col min="15" max="15" width="23.42578125" style="1948" hidden="1" customWidth="1"/>
    <col min="16" max="16" width="3.7109375" style="1948" hidden="1" customWidth="1"/>
    <col min="17" max="17" width="3.7109375" style="1949" hidden="1" customWidth="1"/>
    <col min="18" max="18" width="3.7109375" style="1954" customWidth="1"/>
    <col min="19" max="19" width="12.7109375" style="1955" customWidth="1"/>
    <col min="20" max="20" width="32" style="1921" customWidth="1"/>
    <col min="21" max="21" width="0.140625" style="1921" customWidth="1"/>
    <col min="22" max="25" width="21.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2" width="3.7109375" style="1921" customWidth="1"/>
    <col min="33" max="33" width="24.7109375" style="1921" customWidth="1"/>
    <col min="34" max="36" width="3.7109375" style="1921" customWidth="1"/>
    <col min="37" max="37" width="24.7109375" style="1921" customWidth="1"/>
    <col min="38" max="40" width="3.7109375" style="1921" customWidth="1"/>
    <col min="41" max="41" width="18.85546875" style="1921" customWidth="1"/>
    <col min="42" max="44" width="3.7109375" style="1921" customWidth="1"/>
    <col min="45" max="45" width="18.85546875" style="1921" customWidth="1"/>
    <col min="46" max="49" width="21.7109375" style="1921" customWidth="1"/>
    <col min="50" max="50" width="11.7109375" style="1921" customWidth="1"/>
    <col min="51" max="51" width="3.7109375" style="1921" customWidth="1"/>
    <col min="52" max="52" width="11.7109375" style="1921" customWidth="1"/>
    <col min="53" max="53" width="8.5703125" style="1921" hidden="1" customWidth="1"/>
    <col min="54" max="54" width="4.7109375" style="1921" customWidth="1"/>
    <col min="55" max="55" width="115.7109375" style="1921"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80"/>
      <c r="B2" s="1280"/>
      <c r="C2" s="1280"/>
      <c r="D2" s="1280"/>
      <c r="E2" s="4759">
        <v>1</v>
      </c>
      <c r="F2" s="1280"/>
      <c r="G2" s="1280"/>
      <c r="H2" s="1280"/>
      <c r="I2" s="1280"/>
      <c r="J2" s="1280"/>
      <c r="K2" s="1280"/>
      <c r="L2" s="1281"/>
      <c r="M2" s="1282"/>
      <c r="N2" s="1282"/>
      <c r="O2" s="1282"/>
      <c r="P2" s="1326"/>
      <c r="Q2" s="787"/>
      <c r="R2" s="281"/>
      <c r="S2" s="1378" t="e">
        <f>INDEX(PT_DIFFERENTIATION_NUM_NTAR,MATCH(A2,PT_DIFFERENTIATION_NTAR_ID,0))</f>
        <v>#N/A</v>
      </c>
      <c r="T2" s="217" t="s">
        <v>185</v>
      </c>
      <c r="U2" s="219"/>
      <c r="V2" s="4746"/>
      <c r="W2" s="4746"/>
      <c r="X2" s="4746"/>
      <c r="Y2" s="4746"/>
      <c r="Z2" s="4746"/>
      <c r="AA2" s="4746"/>
      <c r="AB2" s="4746"/>
      <c r="AC2" s="4747"/>
      <c r="AD2" s="4745" t="e">
        <f>INDEX(PT_DIFFERENTIATION_NTAR,MATCH(A2,PT_DIFFERENTIATION_NTAR_ID,0))</f>
        <v>#N/A</v>
      </c>
      <c r="AE2" s="4746"/>
      <c r="AF2" s="4746"/>
      <c r="AG2" s="4746"/>
      <c r="AH2" s="4746"/>
      <c r="AI2" s="4746"/>
      <c r="AJ2" s="4746"/>
      <c r="AK2" s="4746"/>
      <c r="AL2" s="4746"/>
      <c r="AM2" s="4746"/>
      <c r="AN2" s="4746"/>
      <c r="AO2" s="4746"/>
      <c r="AP2" s="4746"/>
      <c r="AQ2" s="4746"/>
      <c r="AR2" s="4746"/>
      <c r="AS2" s="4746"/>
      <c r="AT2" s="4746"/>
      <c r="AU2" s="4746"/>
      <c r="AV2" s="4746"/>
      <c r="AW2" s="4746"/>
      <c r="AX2" s="4746"/>
      <c r="AY2" s="4746"/>
      <c r="AZ2" s="4746"/>
      <c r="BA2" s="4746"/>
      <c r="BB2" s="474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4760"/>
      <c r="F3" s="4759">
        <v>1</v>
      </c>
      <c r="G3" s="1280"/>
      <c r="H3" s="1280"/>
      <c r="I3" s="1280"/>
      <c r="J3" s="1280"/>
      <c r="K3" s="1280"/>
      <c r="L3" s="1281"/>
      <c r="M3" s="1282"/>
      <c r="N3" s="1282"/>
      <c r="O3" s="1282"/>
      <c r="P3" s="1327"/>
      <c r="Q3" s="1328"/>
      <c r="R3" s="279"/>
      <c r="S3" s="1378" t="e">
        <f>INDEX(PT_DIFFERENTIATION_NUM_TER,MATCH(B3,PT_DIFFERENTIATION_TER_ID,0))</f>
        <v>#N/A</v>
      </c>
      <c r="T3" s="229" t="s">
        <v>538</v>
      </c>
      <c r="U3" s="219"/>
      <c r="V3" s="4746"/>
      <c r="W3" s="4746"/>
      <c r="X3" s="4746"/>
      <c r="Y3" s="4746"/>
      <c r="Z3" s="4746"/>
      <c r="AA3" s="4746"/>
      <c r="AB3" s="4746"/>
      <c r="AC3" s="4747"/>
      <c r="AD3" s="4745" t="e">
        <f>INDEX(PT_DIFFERENTIATION_TER,MATCH(B3,PT_DIFFERENTIATION_TER_ID,0))</f>
        <v>#N/A</v>
      </c>
      <c r="AE3" s="4746"/>
      <c r="AF3" s="4746"/>
      <c r="AG3" s="4746"/>
      <c r="AH3" s="4746"/>
      <c r="AI3" s="4746"/>
      <c r="AJ3" s="4746"/>
      <c r="AK3" s="4746"/>
      <c r="AL3" s="4746"/>
      <c r="AM3" s="4746"/>
      <c r="AN3" s="4746"/>
      <c r="AO3" s="4746"/>
      <c r="AP3" s="4746"/>
      <c r="AQ3" s="4746"/>
      <c r="AR3" s="4746"/>
      <c r="AS3" s="4746"/>
      <c r="AT3" s="4746"/>
      <c r="AU3" s="4746"/>
      <c r="AV3" s="4746"/>
      <c r="AW3" s="4746"/>
      <c r="AX3" s="4746"/>
      <c r="AY3" s="4746"/>
      <c r="AZ3" s="4746"/>
      <c r="BA3" s="4746"/>
      <c r="BB3" s="4747"/>
      <c r="BC3" s="1178" t="s">
        <v>539</v>
      </c>
      <c r="BE3" s="427"/>
      <c r="BF3" s="427" t="str">
        <f t="shared" si="0"/>
        <v>Территория действия тарифа</v>
      </c>
      <c r="BG3" s="427"/>
      <c r="BH3" s="427"/>
    </row>
    <row r="4" spans="1:60" ht="42" hidden="1" customHeight="1">
      <c r="A4" s="1280"/>
      <c r="B4" s="1280"/>
      <c r="C4" s="1280"/>
      <c r="D4" s="1280"/>
      <c r="E4" s="4760"/>
      <c r="F4" s="4760"/>
      <c r="G4" s="4759">
        <v>1</v>
      </c>
      <c r="H4" s="1280"/>
      <c r="I4" s="1280"/>
      <c r="J4" s="1280"/>
      <c r="K4" s="1280"/>
      <c r="L4" s="1281"/>
      <c r="M4" s="1282"/>
      <c r="N4" s="1282"/>
      <c r="O4" s="1282"/>
      <c r="P4" s="1329"/>
      <c r="Q4" s="1328"/>
      <c r="R4" s="279"/>
      <c r="S4" s="1378" t="e">
        <f>INDEX(PT_DIFFERENTIATION_NUM_CS,MATCH(C4,PT_DIFFERENTIATION_CS_ID,0))</f>
        <v>#N/A</v>
      </c>
      <c r="T4" s="230" t="s">
        <v>619</v>
      </c>
      <c r="U4" s="219"/>
      <c r="V4" s="4746"/>
      <c r="W4" s="4746"/>
      <c r="X4" s="4746"/>
      <c r="Y4" s="4746"/>
      <c r="Z4" s="4746"/>
      <c r="AA4" s="4746"/>
      <c r="AB4" s="4746"/>
      <c r="AC4" s="4747"/>
      <c r="AD4" s="4745" t="e">
        <f>INDEX(PT_DIFFERENTIATION_CS,MATCH(C4,PT_DIFFERENTIATION_CS_ID,0))</f>
        <v>#N/A</v>
      </c>
      <c r="AE4" s="4746"/>
      <c r="AF4" s="4746"/>
      <c r="AG4" s="4746"/>
      <c r="AH4" s="4746"/>
      <c r="AI4" s="4746"/>
      <c r="AJ4" s="4746"/>
      <c r="AK4" s="4746"/>
      <c r="AL4" s="4746"/>
      <c r="AM4" s="4746"/>
      <c r="AN4" s="4746"/>
      <c r="AO4" s="4746"/>
      <c r="AP4" s="4746"/>
      <c r="AQ4" s="4746"/>
      <c r="AR4" s="4746"/>
      <c r="AS4" s="4746"/>
      <c r="AT4" s="4746"/>
      <c r="AU4" s="4746"/>
      <c r="AV4" s="4746"/>
      <c r="AW4" s="4746"/>
      <c r="AX4" s="4746"/>
      <c r="AY4" s="4746"/>
      <c r="AZ4" s="4746"/>
      <c r="BA4" s="4746"/>
      <c r="BB4" s="4747"/>
      <c r="BC4" s="1178" t="s">
        <v>620</v>
      </c>
      <c r="BE4" s="427"/>
      <c r="BF4" s="427" t="str">
        <f t="shared" si="0"/>
        <v>Наименование централизованной системы холодного водоснабжения</v>
      </c>
      <c r="BG4" s="427"/>
      <c r="BH4" s="427"/>
    </row>
    <row r="5" spans="1:60" s="1821" customFormat="1" ht="14.25" hidden="1" customHeight="1">
      <c r="A5" s="1261"/>
      <c r="B5" s="1261"/>
      <c r="C5" s="1261"/>
      <c r="D5" s="1261"/>
      <c r="E5" s="4760"/>
      <c r="F5" s="4760"/>
      <c r="G5" s="4760"/>
      <c r="H5" s="4759">
        <v>1</v>
      </c>
      <c r="I5" s="1261"/>
      <c r="J5" s="1261"/>
      <c r="K5" s="1261"/>
      <c r="L5" s="1264"/>
      <c r="M5" s="1234"/>
      <c r="N5" s="1234"/>
      <c r="O5" s="1234"/>
      <c r="P5" s="1408"/>
      <c r="Q5" s="1409"/>
      <c r="R5" s="283"/>
      <c r="S5" s="950"/>
      <c r="T5" s="1410"/>
      <c r="U5" s="1301"/>
      <c r="V5" s="4787"/>
      <c r="W5" s="4787"/>
      <c r="X5" s="4787"/>
      <c r="Y5" s="4787"/>
      <c r="Z5" s="4787"/>
      <c r="AA5" s="4787"/>
      <c r="AB5" s="4787"/>
      <c r="AC5" s="4788"/>
      <c r="AD5" s="4786"/>
      <c r="AE5" s="4787"/>
      <c r="AF5" s="4787"/>
      <c r="AG5" s="4787"/>
      <c r="AH5" s="4787"/>
      <c r="AI5" s="4787"/>
      <c r="AJ5" s="4787"/>
      <c r="AK5" s="4787"/>
      <c r="AL5" s="4787"/>
      <c r="AM5" s="4787"/>
      <c r="AN5" s="4787"/>
      <c r="AO5" s="4787"/>
      <c r="AP5" s="4787"/>
      <c r="AQ5" s="4787"/>
      <c r="AR5" s="4787"/>
      <c r="AS5" s="4787"/>
      <c r="AT5" s="4787"/>
      <c r="AU5" s="4787"/>
      <c r="AV5" s="4787"/>
      <c r="AW5" s="4787"/>
      <c r="AX5" s="4787"/>
      <c r="AY5" s="4787"/>
      <c r="AZ5" s="4787"/>
      <c r="BA5" s="4787"/>
      <c r="BB5" s="4788"/>
      <c r="BC5" s="1302" t="s">
        <v>543</v>
      </c>
      <c r="BE5" s="427"/>
      <c r="BF5" s="427" t="str">
        <f t="shared" si="0"/>
        <v/>
      </c>
      <c r="BG5" s="427"/>
      <c r="BH5" s="427"/>
    </row>
    <row r="6" spans="1:60" s="1821" customFormat="1" ht="14.25" hidden="1" customHeight="1">
      <c r="A6" s="1261"/>
      <c r="B6" s="1261"/>
      <c r="C6" s="1261"/>
      <c r="D6" s="1261"/>
      <c r="E6" s="4760"/>
      <c r="F6" s="4760"/>
      <c r="G6" s="4760"/>
      <c r="H6" s="4760"/>
      <c r="I6" s="4757" t="str">
        <f>S5&amp;".1"</f>
        <v>.1</v>
      </c>
      <c r="J6" s="1261"/>
      <c r="K6" s="1261"/>
      <c r="L6" s="1264" t="s">
        <v>544</v>
      </c>
      <c r="M6" s="437"/>
      <c r="N6" s="437"/>
      <c r="O6" s="437"/>
      <c r="P6" s="4758">
        <v>1</v>
      </c>
      <c r="Q6" s="1375"/>
      <c r="R6" s="282"/>
      <c r="S6" s="950"/>
      <c r="T6" s="1300"/>
      <c r="U6" s="1301"/>
      <c r="V6" s="4787"/>
      <c r="W6" s="4787"/>
      <c r="X6" s="4787"/>
      <c r="Y6" s="4787"/>
      <c r="Z6" s="4787"/>
      <c r="AA6" s="4787"/>
      <c r="AB6" s="4787"/>
      <c r="AC6" s="4788"/>
      <c r="AD6" s="4786"/>
      <c r="AE6" s="4787"/>
      <c r="AF6" s="4787"/>
      <c r="AG6" s="4787"/>
      <c r="AH6" s="4787"/>
      <c r="AI6" s="4787"/>
      <c r="AJ6" s="4787"/>
      <c r="AK6" s="4787"/>
      <c r="AL6" s="4787"/>
      <c r="AM6" s="4787"/>
      <c r="AN6" s="4787"/>
      <c r="AO6" s="4787"/>
      <c r="AP6" s="4787"/>
      <c r="AQ6" s="4787"/>
      <c r="AR6" s="4787"/>
      <c r="AS6" s="4787"/>
      <c r="AT6" s="4787"/>
      <c r="AU6" s="4787"/>
      <c r="AV6" s="4787"/>
      <c r="AW6" s="4787"/>
      <c r="AX6" s="4787"/>
      <c r="AY6" s="4787"/>
      <c r="AZ6" s="4787"/>
      <c r="BA6" s="4787"/>
      <c r="BB6" s="4788"/>
      <c r="BC6" s="1302"/>
      <c r="BE6" s="427"/>
      <c r="BF6" s="427" t="str">
        <f t="shared" si="0"/>
        <v/>
      </c>
      <c r="BG6" s="427"/>
      <c r="BH6" s="427"/>
    </row>
    <row r="7" spans="1:60" s="1821" customFormat="1" ht="14.25" hidden="1" customHeight="1">
      <c r="A7" s="1261"/>
      <c r="B7" s="1261"/>
      <c r="C7" s="1261"/>
      <c r="D7" s="1261"/>
      <c r="E7" s="4760"/>
      <c r="F7" s="4760"/>
      <c r="G7" s="4760"/>
      <c r="H7" s="4760"/>
      <c r="I7" s="4780"/>
      <c r="J7" s="4757" t="str">
        <f>S5&amp;".1"</f>
        <v>.1</v>
      </c>
      <c r="K7" s="1261"/>
      <c r="L7" s="1264"/>
      <c r="M7" s="437"/>
      <c r="N7" s="437"/>
      <c r="O7" s="437"/>
      <c r="P7" s="4758"/>
      <c r="Q7" s="4758">
        <v>1</v>
      </c>
      <c r="R7" s="283"/>
      <c r="S7" s="950"/>
      <c r="T7" s="1316"/>
      <c r="U7" s="1301"/>
      <c r="V7" s="4787"/>
      <c r="W7" s="4787"/>
      <c r="X7" s="4787"/>
      <c r="Y7" s="4787"/>
      <c r="Z7" s="4787"/>
      <c r="AA7" s="4787"/>
      <c r="AB7" s="4787"/>
      <c r="AC7" s="4788"/>
      <c r="AD7" s="4786"/>
      <c r="AE7" s="4787"/>
      <c r="AF7" s="4787"/>
      <c r="AG7" s="4787"/>
      <c r="AH7" s="4787"/>
      <c r="AI7" s="4787"/>
      <c r="AJ7" s="4787"/>
      <c r="AK7" s="4787"/>
      <c r="AL7" s="4787"/>
      <c r="AM7" s="4787"/>
      <c r="AN7" s="4787"/>
      <c r="AO7" s="4787"/>
      <c r="AP7" s="4787"/>
      <c r="AQ7" s="4787"/>
      <c r="AR7" s="4787"/>
      <c r="AS7" s="4787"/>
      <c r="AT7" s="4787"/>
      <c r="AU7" s="4787"/>
      <c r="AV7" s="4787"/>
      <c r="AW7" s="4787"/>
      <c r="AX7" s="4787"/>
      <c r="AY7" s="4787"/>
      <c r="AZ7" s="4787"/>
      <c r="BA7" s="4787"/>
      <c r="BB7" s="4788"/>
      <c r="BC7" s="1302"/>
      <c r="BE7" s="427"/>
      <c r="BF7" s="427" t="str">
        <f t="shared" si="0"/>
        <v/>
      </c>
      <c r="BG7" s="427"/>
      <c r="BH7" s="427"/>
    </row>
    <row r="8" spans="1:60" ht="11.25" hidden="1" customHeight="1">
      <c r="A8" s="1280"/>
      <c r="B8" s="1280"/>
      <c r="C8" s="1280"/>
      <c r="D8" s="1280"/>
      <c r="E8" s="4760"/>
      <c r="F8" s="4760"/>
      <c r="G8" s="4760"/>
      <c r="H8" s="4760"/>
      <c r="I8" s="4780"/>
      <c r="J8" s="4780"/>
      <c r="K8" s="4757" t="e">
        <f>S4&amp;".1"</f>
        <v>#N/A</v>
      </c>
      <c r="L8" s="1281"/>
      <c r="P8" s="4758"/>
      <c r="Q8" s="4758"/>
      <c r="R8" s="4815">
        <v>1</v>
      </c>
      <c r="S8" s="4809" t="e">
        <f>$K8</f>
        <v>#N/A</v>
      </c>
      <c r="T8" s="4827"/>
      <c r="U8" s="219"/>
      <c r="V8" s="669"/>
      <c r="W8" s="1177"/>
      <c r="X8" s="669"/>
      <c r="Y8" s="1177"/>
      <c r="Z8" s="1645"/>
      <c r="AA8" s="1373" t="s">
        <v>65</v>
      </c>
      <c r="AB8" s="1645"/>
      <c r="AC8" s="1373" t="s">
        <v>65</v>
      </c>
      <c r="AD8" s="4684" t="s">
        <v>65</v>
      </c>
      <c r="AE8" s="4795"/>
      <c r="AF8" s="4714">
        <v>1</v>
      </c>
      <c r="AG8" s="4831"/>
      <c r="AH8" s="4608" t="s">
        <v>65</v>
      </c>
      <c r="AI8" s="4795"/>
      <c r="AJ8" s="4714">
        <v>1</v>
      </c>
      <c r="AK8" s="4830" t="s">
        <v>24</v>
      </c>
      <c r="AL8" s="4608" t="s">
        <v>65</v>
      </c>
      <c r="AM8" s="4704"/>
      <c r="AN8" s="4714">
        <v>1</v>
      </c>
      <c r="AO8" s="4824"/>
      <c r="AP8" s="4825" t="s">
        <v>65</v>
      </c>
      <c r="AQ8" s="232"/>
      <c r="AR8" s="1376">
        <v>1</v>
      </c>
      <c r="AS8" s="1379" t="s">
        <v>24</v>
      </c>
      <c r="AT8" s="669"/>
      <c r="AU8" s="1177"/>
      <c r="AV8" s="669"/>
      <c r="AW8" s="1177"/>
      <c r="AX8" s="1645"/>
      <c r="AY8" s="1373" t="s">
        <v>65</v>
      </c>
      <c r="AZ8" s="1645"/>
      <c r="BA8" s="1373" t="s">
        <v>65</v>
      </c>
      <c r="BB8" s="1266"/>
      <c r="BC8" s="4754" t="s">
        <v>637</v>
      </c>
      <c r="BE8" s="427"/>
      <c r="BF8" s="427" t="str">
        <f t="shared" si="0"/>
        <v/>
      </c>
      <c r="BG8" s="427"/>
      <c r="BH8" s="427"/>
    </row>
    <row r="9" spans="1:60" ht="11.25" hidden="1" customHeight="1">
      <c r="A9" s="1280"/>
      <c r="B9" s="1280"/>
      <c r="C9" s="1280"/>
      <c r="D9" s="1280"/>
      <c r="E9" s="4760"/>
      <c r="F9" s="4760"/>
      <c r="G9" s="4760"/>
      <c r="H9" s="4760"/>
      <c r="I9" s="4780"/>
      <c r="J9" s="4780"/>
      <c r="K9" s="4757"/>
      <c r="L9" s="1281"/>
      <c r="P9" s="4758"/>
      <c r="Q9" s="4758"/>
      <c r="R9" s="4815"/>
      <c r="S9" s="4810"/>
      <c r="T9" s="4828"/>
      <c r="U9" s="219"/>
      <c r="V9" s="1310"/>
      <c r="W9" s="1407"/>
      <c r="X9" s="1310"/>
      <c r="Y9" s="1407"/>
      <c r="Z9" s="1310"/>
      <c r="AA9" s="1310"/>
      <c r="AB9" s="1310"/>
      <c r="AC9" s="1310"/>
      <c r="AD9" s="4685"/>
      <c r="AE9" s="4795"/>
      <c r="AF9" s="4714"/>
      <c r="AG9" s="4831"/>
      <c r="AH9" s="4608"/>
      <c r="AI9" s="4795"/>
      <c r="AJ9" s="4714"/>
      <c r="AK9" s="4830"/>
      <c r="AL9" s="4608"/>
      <c r="AM9" s="4709"/>
      <c r="AN9" s="4714"/>
      <c r="AO9" s="4824"/>
      <c r="AP9" s="4826"/>
      <c r="AQ9" s="239"/>
      <c r="AR9" s="351"/>
      <c r="AS9" s="351" t="s">
        <v>638</v>
      </c>
      <c r="AT9" s="1310"/>
      <c r="AU9" s="1407"/>
      <c r="AV9" s="1310"/>
      <c r="AW9" s="1407"/>
      <c r="AX9" s="1310"/>
      <c r="AY9" s="1310"/>
      <c r="AZ9" s="1310"/>
      <c r="BA9" s="1310"/>
      <c r="BB9" s="1314"/>
      <c r="BC9" s="4755"/>
      <c r="BE9" s="427"/>
      <c r="BF9" s="427"/>
      <c r="BG9" s="427"/>
      <c r="BH9" s="427"/>
    </row>
    <row r="10" spans="1:60" ht="11.25" hidden="1" customHeight="1">
      <c r="A10" s="1280"/>
      <c r="B10" s="1280"/>
      <c r="C10" s="1280"/>
      <c r="D10" s="1280"/>
      <c r="E10" s="4760"/>
      <c r="F10" s="4760"/>
      <c r="G10" s="4760"/>
      <c r="H10" s="4760"/>
      <c r="I10" s="4780"/>
      <c r="J10" s="4780"/>
      <c r="K10" s="4757"/>
      <c r="L10" s="1281"/>
      <c r="P10" s="4758"/>
      <c r="Q10" s="4758"/>
      <c r="R10" s="4815"/>
      <c r="S10" s="4810"/>
      <c r="T10" s="4828"/>
      <c r="U10" s="219"/>
      <c r="V10" s="1310"/>
      <c r="W10" s="1407"/>
      <c r="X10" s="1310"/>
      <c r="Y10" s="1407"/>
      <c r="Z10" s="1310"/>
      <c r="AA10" s="1310"/>
      <c r="AB10" s="1310"/>
      <c r="AC10" s="1310"/>
      <c r="AD10" s="4685"/>
      <c r="AE10" s="4795"/>
      <c r="AF10" s="4714"/>
      <c r="AG10" s="4831"/>
      <c r="AH10" s="4608"/>
      <c r="AI10" s="4795"/>
      <c r="AJ10" s="4714"/>
      <c r="AK10" s="4830"/>
      <c r="AL10" s="4608"/>
      <c r="AM10" s="239"/>
      <c r="AN10" s="1411"/>
      <c r="AO10" s="1411" t="s">
        <v>639</v>
      </c>
      <c r="AP10" s="351"/>
      <c r="AQ10" s="351"/>
      <c r="AR10" s="351"/>
      <c r="AS10" s="1310"/>
      <c r="AT10" s="1310"/>
      <c r="AU10" s="1407"/>
      <c r="AV10" s="1310"/>
      <c r="AW10" s="1407"/>
      <c r="AX10" s="1310"/>
      <c r="AY10" s="1310"/>
      <c r="AZ10" s="1310"/>
      <c r="BA10" s="1310"/>
      <c r="BB10" s="1314"/>
      <c r="BC10" s="4755"/>
      <c r="BE10" s="427"/>
      <c r="BF10" s="427"/>
      <c r="BG10" s="427"/>
      <c r="BH10" s="427"/>
    </row>
    <row r="11" spans="1:60" ht="11.25" hidden="1" customHeight="1">
      <c r="A11" s="1280"/>
      <c r="B11" s="1280"/>
      <c r="C11" s="1280"/>
      <c r="D11" s="1280"/>
      <c r="E11" s="4760"/>
      <c r="F11" s="4760"/>
      <c r="G11" s="4760"/>
      <c r="H11" s="4760"/>
      <c r="I11" s="4780"/>
      <c r="J11" s="4780"/>
      <c r="K11" s="4757"/>
      <c r="L11" s="1281"/>
      <c r="P11" s="4758"/>
      <c r="Q11" s="4758"/>
      <c r="R11" s="4815"/>
      <c r="S11" s="4810"/>
      <c r="T11" s="4828"/>
      <c r="U11" s="219"/>
      <c r="V11" s="1310"/>
      <c r="W11" s="1407"/>
      <c r="X11" s="1310"/>
      <c r="Y11" s="1407"/>
      <c r="Z11" s="1310"/>
      <c r="AA11" s="1310"/>
      <c r="AB11" s="1310"/>
      <c r="AC11" s="1310"/>
      <c r="AD11" s="4685"/>
      <c r="AE11" s="4795"/>
      <c r="AF11" s="4714"/>
      <c r="AG11" s="4831"/>
      <c r="AH11" s="4608"/>
      <c r="AI11" s="213"/>
      <c r="AJ11" s="350"/>
      <c r="AK11" s="234" t="s">
        <v>640</v>
      </c>
      <c r="AL11" s="1310"/>
      <c r="AM11" s="1310"/>
      <c r="AN11" s="1310"/>
      <c r="AO11" s="1310"/>
      <c r="AP11" s="1310"/>
      <c r="AQ11" s="1310"/>
      <c r="AR11" s="1310"/>
      <c r="AS11" s="1310"/>
      <c r="AT11" s="1310"/>
      <c r="AU11" s="1407"/>
      <c r="AV11" s="1310"/>
      <c r="AW11" s="1407"/>
      <c r="AX11" s="1310"/>
      <c r="AY11" s="1310"/>
      <c r="AZ11" s="1310"/>
      <c r="BA11" s="1310"/>
      <c r="BB11" s="1314"/>
      <c r="BC11" s="4755"/>
      <c r="BE11" s="427"/>
      <c r="BF11" s="427"/>
      <c r="BG11" s="427"/>
      <c r="BH11" s="427"/>
    </row>
    <row r="12" spans="1:60" ht="11.25" hidden="1" customHeight="1">
      <c r="A12" s="1280"/>
      <c r="B12" s="1280"/>
      <c r="C12" s="1280"/>
      <c r="D12" s="1280"/>
      <c r="E12" s="4760"/>
      <c r="F12" s="4760"/>
      <c r="G12" s="4760"/>
      <c r="H12" s="4760"/>
      <c r="I12" s="4780"/>
      <c r="J12" s="4780"/>
      <c r="K12" s="4757"/>
      <c r="L12" s="1281"/>
      <c r="P12" s="4758"/>
      <c r="Q12" s="4758"/>
      <c r="R12" s="4815"/>
      <c r="S12" s="4811"/>
      <c r="T12" s="4829"/>
      <c r="U12" s="219"/>
      <c r="V12" s="1310"/>
      <c r="W12" s="1311" t="str">
        <f>Z8&amp;"-"&amp;AB8</f>
        <v>-</v>
      </c>
      <c r="X12" s="1310"/>
      <c r="Y12" s="1311" t="str">
        <f>AB8&amp;"-"&amp;AD8</f>
        <v>-да</v>
      </c>
      <c r="Z12" s="1310"/>
      <c r="AA12" s="1310"/>
      <c r="AB12" s="1310"/>
      <c r="AC12" s="1310"/>
      <c r="AD12" s="4613"/>
      <c r="AE12" s="233"/>
      <c r="AF12" s="235"/>
      <c r="AG12" s="351" t="s">
        <v>641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4755"/>
      <c r="BE12" s="427"/>
      <c r="BF12" s="427" t="str">
        <f t="shared" ref="BF12:BF18" si="1">IF(T12="","",T12)</f>
        <v/>
      </c>
      <c r="BG12" s="427"/>
      <c r="BH12" s="427"/>
    </row>
    <row r="13" spans="1:60" ht="11.25" hidden="1" customHeight="1">
      <c r="A13" s="1280"/>
      <c r="B13" s="1280"/>
      <c r="C13" s="1280"/>
      <c r="D13" s="1280"/>
      <c r="E13" s="4760"/>
      <c r="F13" s="4760"/>
      <c r="G13" s="4760"/>
      <c r="H13" s="4760"/>
      <c r="I13" s="4780"/>
      <c r="J13" s="4757"/>
      <c r="K13" s="1280"/>
      <c r="L13" s="1281"/>
      <c r="P13" s="4758"/>
      <c r="Q13" s="4758"/>
      <c r="R13" s="282"/>
      <c r="S13" s="1199"/>
      <c r="T13" s="206" t="s">
        <v>605</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4756"/>
      <c r="BE13" s="427"/>
      <c r="BF13" s="427" t="str">
        <f t="shared" si="1"/>
        <v>Добавить строку</v>
      </c>
      <c r="BG13" s="427"/>
      <c r="BH13" s="427"/>
    </row>
    <row r="14" spans="1:60" s="1821" customFormat="1" ht="14.25" hidden="1" customHeight="1">
      <c r="A14" s="1261"/>
      <c r="B14" s="1261"/>
      <c r="C14" s="1261"/>
      <c r="D14" s="1261"/>
      <c r="E14" s="4760"/>
      <c r="F14" s="4760"/>
      <c r="G14" s="4760"/>
      <c r="H14" s="4760"/>
      <c r="I14" s="4757"/>
      <c r="J14" s="1261"/>
      <c r="K14" s="1261"/>
      <c r="L14" s="1264"/>
      <c r="M14" s="437"/>
      <c r="N14" s="437"/>
      <c r="O14" s="437"/>
      <c r="P14" s="4758"/>
      <c r="Q14" s="1375"/>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1" customFormat="1" ht="14.25" hidden="1" customHeight="1">
      <c r="A15" s="1261"/>
      <c r="B15" s="1261"/>
      <c r="C15" s="1261"/>
      <c r="D15" s="1261"/>
      <c r="E15" s="4760"/>
      <c r="F15" s="4760"/>
      <c r="G15" s="4760"/>
      <c r="H15" s="475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46" customFormat="1" ht="14.25" hidden="1" customHeight="1">
      <c r="A16" s="1261"/>
      <c r="B16" s="1261"/>
      <c r="C16" s="1261"/>
      <c r="D16" s="1233"/>
      <c r="E16" s="4760"/>
      <c r="F16" s="4760"/>
      <c r="G16" s="4759"/>
      <c r="H16" s="1233"/>
      <c r="I16" s="1233"/>
      <c r="J16" s="1233"/>
      <c r="K16" s="1233"/>
      <c r="L16" s="1377"/>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46" customFormat="1" ht="14.25" hidden="1" customHeight="1">
      <c r="A17" s="1261"/>
      <c r="B17" s="1261"/>
      <c r="C17" s="1233"/>
      <c r="D17" s="1233"/>
      <c r="E17" s="4760"/>
      <c r="F17" s="4759"/>
      <c r="G17" s="1233"/>
      <c r="H17" s="1233"/>
      <c r="I17" s="1233"/>
      <c r="J17" s="1233"/>
      <c r="K17" s="1233"/>
      <c r="L17" s="1377"/>
      <c r="M17" s="1240"/>
      <c r="N17" s="1240"/>
      <c r="P17" s="1235"/>
      <c r="Q17" s="1236"/>
      <c r="R17" s="1235"/>
      <c r="S17" s="1241"/>
      <c r="T17" s="1244" t="s">
        <v>316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1" customFormat="1" ht="14.25" hidden="1" customHeight="1">
      <c r="A18" s="1261"/>
      <c r="B18" s="1261"/>
      <c r="C18" s="1261"/>
      <c r="D18" s="1261"/>
      <c r="E18" s="4759"/>
      <c r="F18" s="1261"/>
      <c r="G18" s="1261"/>
      <c r="H18" s="1261"/>
      <c r="I18" s="1261"/>
      <c r="J18" s="1261"/>
      <c r="K18" s="1261"/>
      <c r="L18" s="1264"/>
      <c r="M18" s="1240"/>
      <c r="N18" s="1240"/>
      <c r="O18" s="445"/>
      <c r="P18" s="314"/>
      <c r="Q18" s="1262"/>
      <c r="R18" s="314"/>
      <c r="S18" s="1241"/>
      <c r="T18" s="1244" t="s">
        <v>317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74" t="s">
        <v>65</v>
      </c>
      <c r="AZ20" s="1647"/>
      <c r="BA20" s="1374" t="s">
        <v>65</v>
      </c>
    </row>
    <row r="21" spans="1:60" ht="14.25" hidden="1" customHeight="1">
      <c r="BD21" s="423"/>
      <c r="BE21" s="423"/>
      <c r="BF21" s="423"/>
      <c r="BG21" s="423"/>
      <c r="BH21" s="423"/>
    </row>
    <row r="22" spans="1:60" ht="14.25" hidden="1" customHeight="1">
      <c r="O22" s="1284" t="s">
        <v>556</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59" customFormat="1" ht="14.25" hidden="1" customHeight="1">
      <c r="M24" s="1419"/>
      <c r="N24" s="1419"/>
      <c r="O24" s="1420" t="s">
        <v>557</v>
      </c>
      <c r="P24" s="1419"/>
      <c r="Q24" s="1421"/>
      <c r="R24" s="1421"/>
      <c r="AA24" s="1418" t="s">
        <v>559</v>
      </c>
      <c r="AC24" s="1418" t="s">
        <v>560</v>
      </c>
      <c r="AD24" s="1418" t="s">
        <v>606</v>
      </c>
      <c r="AH24" s="1418" t="s">
        <v>606</v>
      </c>
      <c r="AK24" s="1418" t="s">
        <v>642</v>
      </c>
      <c r="AL24" s="1418" t="s">
        <v>606</v>
      </c>
      <c r="AP24" s="1418" t="s">
        <v>606</v>
      </c>
      <c r="AY24" s="1418" t="s">
        <v>559</v>
      </c>
      <c r="BA24" s="1418" t="s">
        <v>560</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474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4743"/>
      <c r="U28" s="4743"/>
      <c r="V28" s="4743"/>
      <c r="W28" s="4743"/>
      <c r="X28" s="4743"/>
      <c r="Y28" s="4743"/>
      <c r="Z28" s="4743"/>
      <c r="AA28" s="4743"/>
      <c r="AB28" s="4743"/>
      <c r="AC28" s="4743"/>
      <c r="AD28" s="4743"/>
      <c r="AE28" s="4743"/>
      <c r="AF28" s="4743"/>
      <c r="AG28" s="4743"/>
      <c r="AH28" s="4743"/>
      <c r="AI28" s="4743"/>
      <c r="AJ28" s="4743"/>
      <c r="AK28" s="4743"/>
      <c r="AL28" s="4743"/>
      <c r="AM28" s="4743"/>
      <c r="AN28" s="4743"/>
      <c r="AO28" s="4743"/>
      <c r="AP28" s="4743"/>
      <c r="AQ28" s="4743"/>
      <c r="AR28" s="4743"/>
      <c r="AS28" s="4743"/>
      <c r="AT28" s="4743"/>
      <c r="AU28" s="4743"/>
      <c r="AV28" s="4743"/>
      <c r="AW28" s="4743"/>
      <c r="AX28" s="4743"/>
      <c r="AY28" s="4743"/>
      <c r="AZ28" s="4743"/>
      <c r="BA28" s="1153"/>
    </row>
    <row r="29" spans="1:60" ht="14.25" customHeight="1">
      <c r="Q29" s="210"/>
      <c r="R29" s="306"/>
      <c r="S29" s="4690" t="str">
        <f>IF(org=0,"Не определено",org)</f>
        <v>ОГКП "Ульяновский областной водоканал"</v>
      </c>
      <c r="T29" s="4690"/>
      <c r="U29" s="4690"/>
      <c r="V29" s="4690"/>
      <c r="W29" s="4690"/>
      <c r="X29" s="4690"/>
      <c r="Y29" s="4690"/>
      <c r="Z29" s="4690"/>
      <c r="AA29" s="4690"/>
      <c r="AB29" s="4690"/>
      <c r="AC29" s="4690"/>
      <c r="AD29" s="4690"/>
      <c r="AE29" s="4690"/>
      <c r="AF29" s="4690"/>
      <c r="AG29" s="4690"/>
      <c r="AH29" s="4690"/>
      <c r="AI29" s="4690"/>
      <c r="AJ29" s="4690"/>
      <c r="AK29" s="4690"/>
      <c r="AL29" s="4690"/>
      <c r="AM29" s="4690"/>
      <c r="AN29" s="4690"/>
      <c r="AO29" s="4690"/>
      <c r="AP29" s="4690"/>
      <c r="AQ29" s="4690"/>
      <c r="AR29" s="4690"/>
      <c r="AS29" s="4690"/>
      <c r="AT29" s="4690"/>
      <c r="AU29" s="4690"/>
      <c r="AV29" s="4690"/>
      <c r="AW29" s="4690"/>
      <c r="AX29" s="4690"/>
      <c r="AY29" s="4690"/>
      <c r="AZ29" s="4690"/>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51" customFormat="1" ht="25.5" customHeight="1">
      <c r="A31" s="1285"/>
      <c r="B31" s="1285"/>
      <c r="C31" s="1285"/>
      <c r="D31" s="1285"/>
      <c r="E31" s="1285"/>
      <c r="F31" s="1285"/>
      <c r="G31" s="1285"/>
      <c r="H31" s="1285"/>
      <c r="I31" s="1285"/>
      <c r="J31" s="1285"/>
      <c r="K31" s="1285"/>
      <c r="L31" s="1286"/>
      <c r="M31" s="1285"/>
      <c r="N31" s="1285"/>
      <c r="O31" s="1285"/>
      <c r="P31" s="1285"/>
      <c r="Q31" s="1285"/>
      <c r="S31" s="4751" t="s">
        <v>38</v>
      </c>
      <c r="T31" s="4751"/>
      <c r="U31" s="1289"/>
      <c r="V31" s="4752" t="str">
        <f>IF(TITLE_NAME_OR_PR_CHANGE="",IF(TITLE_NAME_OR_PR="","",TITLE_NAME_OR_PR),TITLE_NAME_OR_PR_CHANGE)</f>
        <v>Агентство по регулированию цен и тарифов Ульяновской области</v>
      </c>
      <c r="W31" s="4752"/>
      <c r="X31" s="4752"/>
      <c r="Y31" s="4752"/>
      <c r="Z31" s="4752"/>
      <c r="AA31" s="4752"/>
      <c r="AB31" s="4752"/>
      <c r="AC31" s="253"/>
      <c r="AD31" s="4752" t="str">
        <f>IF(TITLE_NAME_OR_PR_CHANGE="",IF(TITLE_NAME_OR_PR="","",TITLE_NAME_OR_PR),TITLE_NAME_OR_PR_CHANGE)</f>
        <v>Агентство по регулированию цен и тарифов Ульяновской области</v>
      </c>
      <c r="AE31" s="4752"/>
      <c r="AF31" s="4752"/>
      <c r="AG31" s="4752"/>
      <c r="AH31" s="4752"/>
      <c r="AI31" s="4752"/>
      <c r="AJ31" s="4752"/>
      <c r="AK31" s="4752"/>
      <c r="AL31" s="4752"/>
      <c r="AM31" s="4752"/>
      <c r="AN31" s="4752"/>
      <c r="AO31" s="4752"/>
      <c r="AP31" s="4752"/>
      <c r="AQ31" s="4752"/>
      <c r="AR31" s="4752"/>
      <c r="AS31" s="4752"/>
      <c r="AT31" s="4752"/>
      <c r="AU31" s="4752"/>
      <c r="AV31" s="4752"/>
      <c r="AW31" s="4752"/>
      <c r="AX31" s="4752"/>
      <c r="AY31" s="4752"/>
      <c r="AZ31" s="4752"/>
      <c r="BA31" s="253"/>
      <c r="BB31" s="253"/>
      <c r="BC31" s="200"/>
      <c r="BD31" s="297"/>
      <c r="BE31" s="297"/>
      <c r="BF31" s="297"/>
      <c r="BG31" s="297"/>
      <c r="BH31" s="297"/>
    </row>
    <row r="32" spans="1:60" s="1951" customFormat="1" ht="18.75" customHeight="1">
      <c r="A32" s="1285"/>
      <c r="B32" s="1285"/>
      <c r="C32" s="1285"/>
      <c r="D32" s="1285"/>
      <c r="E32" s="1285"/>
      <c r="F32" s="1285"/>
      <c r="G32" s="1285"/>
      <c r="H32" s="1285"/>
      <c r="I32" s="1285"/>
      <c r="J32" s="1285"/>
      <c r="K32" s="1285"/>
      <c r="L32" s="1286"/>
      <c r="M32" s="1285"/>
      <c r="N32" s="1285"/>
      <c r="O32" s="1285"/>
      <c r="P32" s="1285"/>
      <c r="Q32" s="1285"/>
      <c r="S32" s="4751" t="s">
        <v>562</v>
      </c>
      <c r="T32" s="4751"/>
      <c r="U32" s="1289"/>
      <c r="V32" s="4761">
        <f>IF(TITLE_DATE_PR_CHANGE="",IF(TITLE_DATE_PR="","",TITLE_DATE_PR),TITLE_DATE_PR_CHANGE)</f>
        <v>45279.639965277776</v>
      </c>
      <c r="W32" s="4761"/>
      <c r="X32" s="4761"/>
      <c r="Y32" s="4761"/>
      <c r="Z32" s="4761"/>
      <c r="AA32" s="4761"/>
      <c r="AB32" s="4761"/>
      <c r="AC32" s="253"/>
      <c r="AD32" s="4761">
        <f>IF(TITLE_DATE_PR_CHANGE="",IF(TITLE_DATE_PR="","",TITLE_DATE_PR),TITLE_DATE_PR_CHANGE)</f>
        <v>45279.639965277776</v>
      </c>
      <c r="AE32" s="4761"/>
      <c r="AF32" s="4761"/>
      <c r="AG32" s="4761"/>
      <c r="AH32" s="4761"/>
      <c r="AI32" s="4761"/>
      <c r="AJ32" s="4761"/>
      <c r="AK32" s="4761"/>
      <c r="AL32" s="4761"/>
      <c r="AM32" s="4761"/>
      <c r="AN32" s="4761"/>
      <c r="AO32" s="4761"/>
      <c r="AP32" s="4761"/>
      <c r="AQ32" s="4761"/>
      <c r="AR32" s="4761"/>
      <c r="AS32" s="4761"/>
      <c r="AT32" s="4761"/>
      <c r="AU32" s="4761"/>
      <c r="AV32" s="4761"/>
      <c r="AW32" s="4761"/>
      <c r="AX32" s="4761"/>
      <c r="AY32" s="4761"/>
      <c r="AZ32" s="4761"/>
      <c r="BA32" s="253"/>
      <c r="BB32" s="253"/>
      <c r="BC32" s="200"/>
      <c r="BD32" s="297"/>
      <c r="BE32" s="297"/>
      <c r="BF32" s="297"/>
      <c r="BG32" s="297"/>
      <c r="BH32" s="297"/>
    </row>
    <row r="33" spans="1:60" s="1951" customFormat="1" ht="18.75" customHeight="1">
      <c r="A33" s="1285"/>
      <c r="B33" s="1285"/>
      <c r="C33" s="1285"/>
      <c r="D33" s="1285"/>
      <c r="E33" s="1285"/>
      <c r="F33" s="1285"/>
      <c r="G33" s="1285"/>
      <c r="H33" s="1285"/>
      <c r="I33" s="1285"/>
      <c r="J33" s="1285"/>
      <c r="K33" s="1285"/>
      <c r="L33" s="1286"/>
      <c r="M33" s="1285"/>
      <c r="N33" s="1285"/>
      <c r="O33" s="1285"/>
      <c r="P33" s="1285"/>
      <c r="Q33" s="1285"/>
      <c r="S33" s="4751" t="s">
        <v>563</v>
      </c>
      <c r="T33" s="4751"/>
      <c r="U33" s="1289"/>
      <c r="V33" s="4752" t="str">
        <f>IF(TITLE_NUMBER_PR_CHANGE="",IF(TITLE_NUMBER_PR="","",TITLE_NUMBER_PR),TITLE_NUMBER_PR_CHANGE)</f>
        <v>233-П</v>
      </c>
      <c r="W33" s="4752"/>
      <c r="X33" s="4752"/>
      <c r="Y33" s="4752"/>
      <c r="Z33" s="4752"/>
      <c r="AA33" s="4752"/>
      <c r="AB33" s="4752"/>
      <c r="AC33" s="253"/>
      <c r="AD33" s="4752" t="str">
        <f>IF(TITLE_NUMBER_PR_CHANGE="",IF(TITLE_NUMBER_PR="","",TITLE_NUMBER_PR),TITLE_NUMBER_PR_CHANGE)</f>
        <v>233-П</v>
      </c>
      <c r="AE33" s="4752"/>
      <c r="AF33" s="4752"/>
      <c r="AG33" s="4752"/>
      <c r="AH33" s="4752"/>
      <c r="AI33" s="4752"/>
      <c r="AJ33" s="4752"/>
      <c r="AK33" s="4752"/>
      <c r="AL33" s="4752"/>
      <c r="AM33" s="4752"/>
      <c r="AN33" s="4752"/>
      <c r="AO33" s="4752"/>
      <c r="AP33" s="4752"/>
      <c r="AQ33" s="4752"/>
      <c r="AR33" s="4752"/>
      <c r="AS33" s="4752"/>
      <c r="AT33" s="4752"/>
      <c r="AU33" s="4752"/>
      <c r="AV33" s="4752"/>
      <c r="AW33" s="4752"/>
      <c r="AX33" s="4752"/>
      <c r="AY33" s="4752"/>
      <c r="AZ33" s="4752"/>
      <c r="BA33" s="253"/>
      <c r="BB33" s="253"/>
      <c r="BC33" s="200"/>
      <c r="BD33" s="297"/>
      <c r="BE33" s="297"/>
      <c r="BF33" s="297"/>
      <c r="BG33" s="297"/>
      <c r="BH33" s="297"/>
    </row>
    <row r="34" spans="1:60" s="1951" customFormat="1" ht="18.75" customHeight="1">
      <c r="A34" s="1285"/>
      <c r="B34" s="1285"/>
      <c r="C34" s="1285"/>
      <c r="D34" s="1285"/>
      <c r="E34" s="1285"/>
      <c r="F34" s="1285"/>
      <c r="G34" s="1285"/>
      <c r="H34" s="1285"/>
      <c r="I34" s="1285"/>
      <c r="J34" s="1285"/>
      <c r="K34" s="1285"/>
      <c r="L34" s="1286"/>
      <c r="M34" s="1285"/>
      <c r="N34" s="1285"/>
      <c r="O34" s="1285"/>
      <c r="P34" s="1285"/>
      <c r="Q34" s="1285"/>
      <c r="S34" s="4751" t="s">
        <v>40</v>
      </c>
      <c r="T34" s="4751"/>
      <c r="U34" s="1289"/>
      <c r="V34" s="4752" t="str">
        <f>IF(TITLE_IST_PUB_CHANGE="",IF(TITLE_IST_PUB="","",TITLE_IST_PUB),TITLE_IST_PUB_CHANGE)</f>
        <v>сайт Агентства по регулированию цен и тарифов Ульяновской области</v>
      </c>
      <c r="W34" s="4752"/>
      <c r="X34" s="4752"/>
      <c r="Y34" s="4752"/>
      <c r="Z34" s="4752"/>
      <c r="AA34" s="4752"/>
      <c r="AB34" s="4752"/>
      <c r="AC34" s="253"/>
      <c r="AD34" s="4752" t="str">
        <f>IF(TITLE_IST_PUB_CHANGE="",IF(TITLE_IST_PUB="","",TITLE_IST_PUB),TITLE_IST_PUB_CHANGE)</f>
        <v>сайт Агентства по регулированию цен и тарифов Ульяновской области</v>
      </c>
      <c r="AE34" s="4752"/>
      <c r="AF34" s="4752"/>
      <c r="AG34" s="4752"/>
      <c r="AH34" s="4752"/>
      <c r="AI34" s="4752"/>
      <c r="AJ34" s="4752"/>
      <c r="AK34" s="4752"/>
      <c r="AL34" s="4752"/>
      <c r="AM34" s="4752"/>
      <c r="AN34" s="4752"/>
      <c r="AO34" s="4752"/>
      <c r="AP34" s="4752"/>
      <c r="AQ34" s="4752"/>
      <c r="AR34" s="4752"/>
      <c r="AS34" s="4752"/>
      <c r="AT34" s="4752"/>
      <c r="AU34" s="4752"/>
      <c r="AV34" s="4752"/>
      <c r="AW34" s="4752"/>
      <c r="AX34" s="4752"/>
      <c r="AY34" s="4752"/>
      <c r="AZ34" s="475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51" customFormat="1" ht="18.75" hidden="1" customHeight="1">
      <c r="A36" s="1285"/>
      <c r="B36" s="1285"/>
      <c r="C36" s="1285"/>
      <c r="D36" s="1285"/>
      <c r="E36" s="1285"/>
      <c r="F36" s="1285"/>
      <c r="G36" s="1285"/>
      <c r="H36" s="1285"/>
      <c r="I36" s="1285"/>
      <c r="J36" s="1285"/>
      <c r="K36" s="1285"/>
      <c r="L36" s="1286"/>
      <c r="M36" s="1285"/>
      <c r="N36" s="1285"/>
      <c r="O36" s="1285"/>
      <c r="P36" s="1285"/>
      <c r="Q36" s="1285"/>
      <c r="S36" s="4751" t="s">
        <v>562</v>
      </c>
      <c r="T36" s="4751"/>
      <c r="U36" s="1289"/>
      <c r="V36" s="4761">
        <f>IF(TITLE_DATE_PR_CHANGE="",IF(TITLE_DATE_PR="","",TITLE_DATE_PR),TITLE_DATE_PR_CHANGE)</f>
        <v>45279.639965277776</v>
      </c>
      <c r="W36" s="4761"/>
      <c r="X36" s="4761"/>
      <c r="Y36" s="4761"/>
      <c r="Z36" s="4761"/>
      <c r="AA36" s="4761"/>
      <c r="AB36" s="4761"/>
      <c r="AC36" s="253"/>
      <c r="AD36" s="4761">
        <f>IF(TITLE_DATE_PR_CHANGE="",IF(TITLE_DATE_PR="","",TITLE_DATE_PR),TITLE_DATE_PR_CHANGE)</f>
        <v>45279.639965277776</v>
      </c>
      <c r="AE36" s="4761"/>
      <c r="AF36" s="4761"/>
      <c r="AG36" s="4761"/>
      <c r="AH36" s="4761"/>
      <c r="AI36" s="4761"/>
      <c r="AJ36" s="4761"/>
      <c r="AK36" s="4761"/>
      <c r="AL36" s="4761"/>
      <c r="AM36" s="4761"/>
      <c r="AN36" s="4761"/>
      <c r="AO36" s="4761"/>
      <c r="AP36" s="4761"/>
      <c r="AQ36" s="4761"/>
      <c r="AR36" s="4761"/>
      <c r="AS36" s="4761"/>
      <c r="AT36" s="4761"/>
      <c r="AU36" s="4761"/>
      <c r="AV36" s="4761"/>
      <c r="AW36" s="4761"/>
      <c r="AX36" s="4761"/>
      <c r="AY36" s="4761"/>
      <c r="AZ36" s="4761"/>
      <c r="BA36" s="253"/>
      <c r="BB36" s="253"/>
      <c r="BC36" s="200"/>
      <c r="BD36" s="297"/>
      <c r="BE36" s="297"/>
      <c r="BF36" s="297"/>
      <c r="BG36" s="297"/>
      <c r="BH36" s="297"/>
    </row>
    <row r="37" spans="1:60" s="1951" customFormat="1" ht="18.75" hidden="1" customHeight="1">
      <c r="A37" s="1285"/>
      <c r="B37" s="1285"/>
      <c r="C37" s="1285"/>
      <c r="D37" s="1285"/>
      <c r="E37" s="1285"/>
      <c r="F37" s="1285"/>
      <c r="G37" s="1285"/>
      <c r="H37" s="1285"/>
      <c r="I37" s="1285"/>
      <c r="J37" s="1285"/>
      <c r="K37" s="1285"/>
      <c r="L37" s="1286"/>
      <c r="M37" s="1285"/>
      <c r="N37" s="1285"/>
      <c r="O37" s="1285"/>
      <c r="P37" s="1285"/>
      <c r="Q37" s="1285"/>
      <c r="S37" s="4751" t="s">
        <v>563</v>
      </c>
      <c r="T37" s="4751"/>
      <c r="U37" s="1289"/>
      <c r="V37" s="4752" t="str">
        <f>IF(TITLE_NUMBER_PR_CHANGE="",IF(TITLE_NUMBER_PR="","",TITLE_NUMBER_PR),TITLE_NUMBER_PR_CHANGE)</f>
        <v>233-П</v>
      </c>
      <c r="W37" s="4752"/>
      <c r="X37" s="4752"/>
      <c r="Y37" s="4752"/>
      <c r="Z37" s="4752"/>
      <c r="AA37" s="4752"/>
      <c r="AB37" s="4752"/>
      <c r="AC37" s="253"/>
      <c r="AD37" s="4752" t="str">
        <f>IF(TITLE_NUMBER_PR_CHANGE="",IF(TITLE_NUMBER_PR="","",TITLE_NUMBER_PR),TITLE_NUMBER_PR_CHANGE)</f>
        <v>233-П</v>
      </c>
      <c r="AE37" s="4752"/>
      <c r="AF37" s="4752"/>
      <c r="AG37" s="4752"/>
      <c r="AH37" s="4752"/>
      <c r="AI37" s="4752"/>
      <c r="AJ37" s="4752"/>
      <c r="AK37" s="4752"/>
      <c r="AL37" s="4752"/>
      <c r="AM37" s="4752"/>
      <c r="AN37" s="4752"/>
      <c r="AO37" s="4752"/>
      <c r="AP37" s="4752"/>
      <c r="AQ37" s="4752"/>
      <c r="AR37" s="4752"/>
      <c r="AS37" s="4752"/>
      <c r="AT37" s="4752"/>
      <c r="AU37" s="4752"/>
      <c r="AV37" s="4752"/>
      <c r="AW37" s="4752"/>
      <c r="AX37" s="4752"/>
      <c r="AY37" s="4752"/>
      <c r="AZ37" s="4752"/>
      <c r="BA37" s="253"/>
      <c r="BB37" s="253"/>
      <c r="BC37" s="200"/>
      <c r="BD37" s="297"/>
      <c r="BE37" s="297"/>
      <c r="BF37" s="297"/>
      <c r="BG37" s="297"/>
      <c r="BH37" s="297"/>
    </row>
    <row r="38" spans="1:60" s="195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68"/>
      <c r="V38" s="253"/>
      <c r="W38" s="253"/>
      <c r="X38" s="253"/>
      <c r="Y38" s="253"/>
      <c r="Z38" s="253"/>
      <c r="AA38" s="253"/>
      <c r="AB38" s="253"/>
      <c r="AC38" s="198" t="s">
        <v>566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566</v>
      </c>
      <c r="BD38" s="297"/>
      <c r="BE38" s="297"/>
      <c r="BF38" s="297"/>
      <c r="BG38" s="297"/>
      <c r="BH38" s="297"/>
    </row>
    <row r="39" spans="1:60" ht="14.25" customHeight="1">
      <c r="Q39" s="210"/>
      <c r="R39" s="306"/>
      <c r="S39" s="1196"/>
      <c r="T39" s="291"/>
      <c r="U39" s="1154"/>
      <c r="V39" s="4753"/>
      <c r="W39" s="4753"/>
      <c r="X39" s="4753"/>
      <c r="Y39" s="4753"/>
      <c r="Z39" s="4753"/>
      <c r="AA39" s="4753"/>
      <c r="AB39" s="4753"/>
      <c r="AC39" s="4753"/>
      <c r="AD39" s="4753"/>
      <c r="AE39" s="4753"/>
      <c r="AF39" s="4753"/>
      <c r="AG39" s="4753"/>
      <c r="AH39" s="4753"/>
      <c r="AI39" s="4753"/>
      <c r="AJ39" s="4753"/>
      <c r="AK39" s="4753"/>
      <c r="AL39" s="4753"/>
      <c r="AM39" s="4753"/>
      <c r="AN39" s="4753"/>
      <c r="AO39" s="4753"/>
      <c r="AP39" s="4753"/>
      <c r="AQ39" s="4753"/>
      <c r="AR39" s="4753"/>
      <c r="AS39" s="4753"/>
      <c r="AT39" s="4753"/>
      <c r="AU39" s="4753"/>
      <c r="AV39" s="4753"/>
      <c r="AW39" s="4753"/>
      <c r="AX39" s="4753"/>
      <c r="AY39" s="4753"/>
      <c r="AZ39" s="4753"/>
      <c r="BA39" s="4753"/>
    </row>
    <row r="40" spans="1:60" ht="14.25" customHeight="1">
      <c r="Q40" s="210"/>
      <c r="R40" s="306"/>
      <c r="S40" s="4627" t="s">
        <v>439</v>
      </c>
      <c r="T40" s="4627"/>
      <c r="U40" s="4627"/>
      <c r="V40" s="4627"/>
      <c r="W40" s="4627"/>
      <c r="X40" s="4627"/>
      <c r="Y40" s="4627"/>
      <c r="Z40" s="4627"/>
      <c r="AA40" s="4627"/>
      <c r="AB40" s="4627"/>
      <c r="AC40" s="4627"/>
      <c r="AD40" s="4627"/>
      <c r="AE40" s="4627"/>
      <c r="AF40" s="4627"/>
      <c r="AG40" s="4627"/>
      <c r="AH40" s="4627"/>
      <c r="AI40" s="4627"/>
      <c r="AJ40" s="4627"/>
      <c r="AK40" s="4627"/>
      <c r="AL40" s="4627"/>
      <c r="AM40" s="4627"/>
      <c r="AN40" s="4627"/>
      <c r="AO40" s="4627"/>
      <c r="AP40" s="4627"/>
      <c r="AQ40" s="4627"/>
      <c r="AR40" s="4627"/>
      <c r="AS40" s="4627"/>
      <c r="AT40" s="4627"/>
      <c r="AU40" s="4627"/>
      <c r="AV40" s="4627"/>
      <c r="AW40" s="4627"/>
      <c r="AX40" s="4627"/>
      <c r="AY40" s="4627"/>
      <c r="AZ40" s="4627"/>
      <c r="BA40" s="4627"/>
      <c r="BB40" s="4627"/>
      <c r="BC40" s="4627" t="s">
        <v>440</v>
      </c>
    </row>
    <row r="41" spans="1:60" ht="14.25" customHeight="1">
      <c r="Q41" s="210"/>
      <c r="R41" s="306"/>
      <c r="S41" s="4767" t="s">
        <v>86</v>
      </c>
      <c r="T41" s="4719" t="s">
        <v>643</v>
      </c>
      <c r="U41" s="220"/>
      <c r="V41" s="4768" t="s">
        <v>568</v>
      </c>
      <c r="W41" s="4769"/>
      <c r="X41" s="4769"/>
      <c r="Y41" s="4769"/>
      <c r="Z41" s="4769"/>
      <c r="AA41" s="4769"/>
      <c r="AB41" s="4770"/>
      <c r="AC41" s="4771" t="s">
        <v>569</v>
      </c>
      <c r="AD41" s="4797" t="s">
        <v>644</v>
      </c>
      <c r="AE41" s="4783"/>
      <c r="AF41" s="4783"/>
      <c r="AG41" s="4798"/>
      <c r="AH41" s="4797" t="s">
        <v>645</v>
      </c>
      <c r="AI41" s="4783"/>
      <c r="AJ41" s="4783"/>
      <c r="AK41" s="4798"/>
      <c r="AL41" s="4797" t="s">
        <v>646</v>
      </c>
      <c r="AM41" s="4783"/>
      <c r="AN41" s="4783"/>
      <c r="AO41" s="4798"/>
      <c r="AP41" s="4797" t="s">
        <v>647</v>
      </c>
      <c r="AQ41" s="4783"/>
      <c r="AR41" s="4783"/>
      <c r="AS41" s="4798"/>
      <c r="AT41" s="4768" t="s">
        <v>568</v>
      </c>
      <c r="AU41" s="4769"/>
      <c r="AV41" s="4769"/>
      <c r="AW41" s="4769"/>
      <c r="AX41" s="4769"/>
      <c r="AY41" s="4769"/>
      <c r="AZ41" s="4770"/>
      <c r="BA41" s="4771" t="s">
        <v>569</v>
      </c>
      <c r="BB41" s="4774" t="s">
        <v>571</v>
      </c>
      <c r="BC41" s="4627"/>
    </row>
    <row r="42" spans="1:60" ht="33.75" customHeight="1">
      <c r="Q42" s="210"/>
      <c r="R42" s="306"/>
      <c r="S42" s="4767"/>
      <c r="T42" s="4719"/>
      <c r="U42" s="939"/>
      <c r="V42" s="4704" t="s">
        <v>648</v>
      </c>
      <c r="W42" s="4705"/>
      <c r="X42" s="4704" t="s">
        <v>649</v>
      </c>
      <c r="Y42" s="4705"/>
      <c r="Z42" s="4704" t="s">
        <v>650</v>
      </c>
      <c r="AA42" s="4792"/>
      <c r="AB42" s="4705"/>
      <c r="AC42" s="4772"/>
      <c r="AD42" s="4799"/>
      <c r="AE42" s="4800"/>
      <c r="AF42" s="4800"/>
      <c r="AG42" s="4801"/>
      <c r="AH42" s="4799"/>
      <c r="AI42" s="4800"/>
      <c r="AJ42" s="4800"/>
      <c r="AK42" s="4801"/>
      <c r="AL42" s="4799"/>
      <c r="AM42" s="4800"/>
      <c r="AN42" s="4800"/>
      <c r="AO42" s="4801"/>
      <c r="AP42" s="4799"/>
      <c r="AQ42" s="4800"/>
      <c r="AR42" s="4800"/>
      <c r="AS42" s="4801"/>
      <c r="AT42" s="4704" t="s">
        <v>648</v>
      </c>
      <c r="AU42" s="4705"/>
      <c r="AV42" s="4704" t="s">
        <v>649</v>
      </c>
      <c r="AW42" s="4705"/>
      <c r="AX42" s="4704" t="s">
        <v>650</v>
      </c>
      <c r="AY42" s="4792"/>
      <c r="AZ42" s="4705"/>
      <c r="BA42" s="4772"/>
      <c r="BB42" s="4775"/>
      <c r="BC42" s="4627"/>
    </row>
    <row r="43" spans="1:60" ht="14.25" customHeight="1">
      <c r="Q43" s="210"/>
      <c r="R43" s="306"/>
      <c r="S43" s="4767"/>
      <c r="T43" s="4719"/>
      <c r="U43" s="939"/>
      <c r="V43" s="4709"/>
      <c r="W43" s="4710"/>
      <c r="X43" s="4709"/>
      <c r="Y43" s="4710"/>
      <c r="Z43" s="4709"/>
      <c r="AA43" s="4793"/>
      <c r="AB43" s="4710"/>
      <c r="AC43" s="4772"/>
      <c r="AD43" s="4799"/>
      <c r="AE43" s="4800"/>
      <c r="AF43" s="4800"/>
      <c r="AG43" s="4801"/>
      <c r="AH43" s="4799"/>
      <c r="AI43" s="4800"/>
      <c r="AJ43" s="4800"/>
      <c r="AK43" s="4801"/>
      <c r="AL43" s="4799"/>
      <c r="AM43" s="4800"/>
      <c r="AN43" s="4800"/>
      <c r="AO43" s="4801"/>
      <c r="AP43" s="4799"/>
      <c r="AQ43" s="4800"/>
      <c r="AR43" s="4800"/>
      <c r="AS43" s="4801"/>
      <c r="AT43" s="4709"/>
      <c r="AU43" s="4710"/>
      <c r="AV43" s="4709"/>
      <c r="AW43" s="4710"/>
      <c r="AX43" s="4709"/>
      <c r="AY43" s="4793"/>
      <c r="AZ43" s="4710"/>
      <c r="BA43" s="4772"/>
      <c r="BB43" s="4775"/>
      <c r="BC43" s="4627"/>
    </row>
    <row r="44" spans="1:60" ht="14.25" customHeight="1">
      <c r="A44" s="1287"/>
      <c r="B44" s="1287" t="s">
        <v>197</v>
      </c>
      <c r="C44" s="1287" t="s">
        <v>198</v>
      </c>
      <c r="D44" s="1287" t="s">
        <v>199</v>
      </c>
      <c r="E44" s="1281" t="s">
        <v>576</v>
      </c>
      <c r="F44" s="1281" t="s">
        <v>577</v>
      </c>
      <c r="G44" s="1281" t="s">
        <v>578</v>
      </c>
      <c r="H44" s="1281" t="s">
        <v>579</v>
      </c>
      <c r="I44" s="1281" t="s">
        <v>580</v>
      </c>
      <c r="J44" s="1281" t="s">
        <v>581</v>
      </c>
      <c r="K44" s="1281" t="s">
        <v>582</v>
      </c>
      <c r="L44" s="1281" t="s">
        <v>557</v>
      </c>
      <c r="Q44" s="210"/>
      <c r="R44" s="306"/>
      <c r="S44" s="4767"/>
      <c r="T44" s="4719"/>
      <c r="U44" s="221"/>
      <c r="V44" s="1362" t="s">
        <v>616</v>
      </c>
      <c r="W44" s="1362" t="s">
        <v>617</v>
      </c>
      <c r="X44" s="1362" t="s">
        <v>616</v>
      </c>
      <c r="Y44" s="1362" t="s">
        <v>617</v>
      </c>
      <c r="Z44" s="1369" t="s">
        <v>585</v>
      </c>
      <c r="AA44" s="4727" t="s">
        <v>586</v>
      </c>
      <c r="AB44" s="4729"/>
      <c r="AC44" s="4773"/>
      <c r="AD44" s="4802"/>
      <c r="AE44" s="4803"/>
      <c r="AF44" s="4803"/>
      <c r="AG44" s="4804"/>
      <c r="AH44" s="4802"/>
      <c r="AI44" s="4803"/>
      <c r="AJ44" s="4803"/>
      <c r="AK44" s="4804"/>
      <c r="AL44" s="4802"/>
      <c r="AM44" s="4803"/>
      <c r="AN44" s="4803"/>
      <c r="AO44" s="4804"/>
      <c r="AP44" s="4802"/>
      <c r="AQ44" s="4803"/>
      <c r="AR44" s="4803"/>
      <c r="AS44" s="4804"/>
      <c r="AT44" s="1362" t="s">
        <v>616</v>
      </c>
      <c r="AU44" s="1362" t="s">
        <v>617</v>
      </c>
      <c r="AV44" s="1362" t="s">
        <v>616</v>
      </c>
      <c r="AW44" s="1362" t="s">
        <v>617</v>
      </c>
      <c r="AX44" s="1369" t="s">
        <v>585</v>
      </c>
      <c r="AY44" s="4727" t="s">
        <v>586</v>
      </c>
      <c r="AZ44" s="4729"/>
      <c r="BA44" s="4773"/>
      <c r="BB44" s="4776"/>
      <c r="BC44" s="4627"/>
    </row>
    <row r="45" spans="1:60" s="1820"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174</v>
      </c>
      <c r="T45" s="1173" t="s">
        <v>101</v>
      </c>
      <c r="U45" s="1155" t="str">
        <f ca="1">OFFSET(U45,0,-1)</f>
        <v>2</v>
      </c>
      <c r="V45" s="1365">
        <f t="shared" ref="V45:AA45" ca="1" si="2">OFFSET(V45,0,-1)+1</f>
        <v>3</v>
      </c>
      <c r="W45" s="1365">
        <f t="shared" ca="1" si="2"/>
        <v>4</v>
      </c>
      <c r="X45" s="1365">
        <f t="shared" ca="1" si="2"/>
        <v>5</v>
      </c>
      <c r="Y45" s="1365">
        <f t="shared" ca="1" si="2"/>
        <v>6</v>
      </c>
      <c r="Z45" s="1365">
        <f t="shared" ca="1" si="2"/>
        <v>7</v>
      </c>
      <c r="AA45" s="4766">
        <f t="shared" ca="1" si="2"/>
        <v>8</v>
      </c>
      <c r="AB45" s="4766"/>
      <c r="AC45" s="1365">
        <f ca="1">OFFSET(AC45,0,-2)+1</f>
        <v>9</v>
      </c>
      <c r="AD45" s="1365">
        <f ca="1">OFFSET(AD45,0,-1)+1</f>
        <v>10</v>
      </c>
      <c r="AE45" s="1365"/>
      <c r="AF45" s="1365"/>
      <c r="AG45" s="1365"/>
      <c r="AH45" s="1365"/>
      <c r="AI45" s="1365"/>
      <c r="AJ45" s="1365"/>
      <c r="AK45" s="1365"/>
      <c r="AL45" s="1365"/>
      <c r="AM45" s="1365"/>
      <c r="AN45" s="1365"/>
      <c r="AO45" s="1365"/>
      <c r="AP45" s="1365"/>
      <c r="AQ45" s="1365"/>
      <c r="AR45" s="1365"/>
      <c r="AS45" s="1365"/>
      <c r="AT45" s="1365"/>
      <c r="AU45" s="1365"/>
      <c r="AV45" s="1365"/>
      <c r="AW45" s="1365">
        <f ca="1">OFFSET(AW45,0,-1)+1</f>
        <v>1</v>
      </c>
      <c r="AX45" s="1365">
        <f ca="1">OFFSET(AX45,0,-1)+1</f>
        <v>2</v>
      </c>
      <c r="AY45" s="4766">
        <f ca="1">OFFSET(AY45,0,-1)+1</f>
        <v>3</v>
      </c>
      <c r="AZ45" s="4766"/>
      <c r="BA45" s="1365">
        <f ca="1">OFFSET(BA45,0,-2)+1</f>
        <v>4</v>
      </c>
      <c r="BB45" s="1155">
        <f ca="1">OFFSET(BB45,0,-1)</f>
        <v>4</v>
      </c>
      <c r="BC45" s="1365">
        <f ca="1">OFFSET(BC45,0,-1)+1</f>
        <v>5</v>
      </c>
      <c r="BD45" s="438"/>
      <c r="BE45" s="438"/>
      <c r="BF45" s="438"/>
      <c r="BG45" s="438"/>
      <c r="BH45" s="438"/>
    </row>
    <row r="46" spans="1:60" ht="21" customHeight="1">
      <c r="A46" s="1280" t="s">
        <v>291</v>
      </c>
      <c r="B46" s="1280"/>
      <c r="C46" s="1280"/>
      <c r="D46" s="1280"/>
      <c r="E46" s="4759">
        <v>1</v>
      </c>
      <c r="F46" s="1280"/>
      <c r="G46" s="1280"/>
      <c r="H46" s="1280"/>
      <c r="I46" s="1280"/>
      <c r="J46" s="1280"/>
      <c r="K46" s="1280"/>
      <c r="L46" s="1281"/>
      <c r="M46" s="1282"/>
      <c r="N46" s="1282"/>
      <c r="O46" s="1282"/>
      <c r="P46" s="1326"/>
      <c r="Q46" s="787"/>
      <c r="R46" s="281"/>
      <c r="S46" s="1371">
        <f>INDEX(PT_DIFFERENTIATION_NUM_NTAR,MATCH(A46,PT_DIFFERENTIATION_NTAR_ID,0))</f>
        <v>0</v>
      </c>
      <c r="T46" s="217" t="s">
        <v>185</v>
      </c>
      <c r="U46" s="219"/>
      <c r="V46" s="4746"/>
      <c r="W46" s="4746"/>
      <c r="X46" s="4746"/>
      <c r="Y46" s="4746"/>
      <c r="Z46" s="4746"/>
      <c r="AA46" s="4746"/>
      <c r="AB46" s="4746"/>
      <c r="AC46" s="4747"/>
      <c r="AD46" s="4745" t="str">
        <f>INDEX(PT_DIFFERENTIATION_NTAR,MATCH(A46,PT_DIFFERENTIATION_NTAR_ID,0))</f>
        <v/>
      </c>
      <c r="AE46" s="4746"/>
      <c r="AF46" s="4746"/>
      <c r="AG46" s="4746"/>
      <c r="AH46" s="4746"/>
      <c r="AI46" s="4746"/>
      <c r="AJ46" s="4746"/>
      <c r="AK46" s="4746"/>
      <c r="AL46" s="4746"/>
      <c r="AM46" s="4746"/>
      <c r="AN46" s="4746"/>
      <c r="AO46" s="4746"/>
      <c r="AP46" s="4746"/>
      <c r="AQ46" s="4746"/>
      <c r="AR46" s="4746"/>
      <c r="AS46" s="4746"/>
      <c r="AT46" s="4746"/>
      <c r="AU46" s="4746"/>
      <c r="AV46" s="4746"/>
      <c r="AW46" s="4746"/>
      <c r="AX46" s="4746"/>
      <c r="AY46" s="4746"/>
      <c r="AZ46" s="4746"/>
      <c r="BA46" s="4746"/>
      <c r="BB46" s="474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291</v>
      </c>
      <c r="B47" s="1280" t="s">
        <v>292</v>
      </c>
      <c r="C47" s="1280"/>
      <c r="D47" s="1280"/>
      <c r="E47" s="4760"/>
      <c r="F47" s="4759">
        <v>1</v>
      </c>
      <c r="G47" s="1280"/>
      <c r="H47" s="1280"/>
      <c r="I47" s="1280"/>
      <c r="J47" s="1280"/>
      <c r="K47" s="1280"/>
      <c r="L47" s="1281"/>
      <c r="M47" s="1282"/>
      <c r="N47" s="1282"/>
      <c r="O47" s="1282"/>
      <c r="P47" s="1327"/>
      <c r="Q47" s="1328"/>
      <c r="R47" s="279"/>
      <c r="S47" s="1371" t="str">
        <f>INDEX(PT_DIFFERENTIATION_NUM_TER,MATCH(B47,PT_DIFFERENTIATION_TER_ID,0))</f>
        <v>.</v>
      </c>
      <c r="T47" s="229" t="s">
        <v>538</v>
      </c>
      <c r="U47" s="219"/>
      <c r="V47" s="4746"/>
      <c r="W47" s="4746"/>
      <c r="X47" s="4746"/>
      <c r="Y47" s="4746"/>
      <c r="Z47" s="4746"/>
      <c r="AA47" s="4746"/>
      <c r="AB47" s="4746"/>
      <c r="AC47" s="4747"/>
      <c r="AD47" s="4745" t="str">
        <f>INDEX(PT_DIFFERENTIATION_TER,MATCH(B47,PT_DIFFERENTIATION_TER_ID,0))</f>
        <v/>
      </c>
      <c r="AE47" s="4746"/>
      <c r="AF47" s="4746"/>
      <c r="AG47" s="4746"/>
      <c r="AH47" s="4746"/>
      <c r="AI47" s="4746"/>
      <c r="AJ47" s="4746"/>
      <c r="AK47" s="4746"/>
      <c r="AL47" s="4746"/>
      <c r="AM47" s="4746"/>
      <c r="AN47" s="4746"/>
      <c r="AO47" s="4746"/>
      <c r="AP47" s="4746"/>
      <c r="AQ47" s="4746"/>
      <c r="AR47" s="4746"/>
      <c r="AS47" s="4746"/>
      <c r="AT47" s="4746"/>
      <c r="AU47" s="4746"/>
      <c r="AV47" s="4746"/>
      <c r="AW47" s="4746"/>
      <c r="AX47" s="4746"/>
      <c r="AY47" s="4746"/>
      <c r="AZ47" s="4746"/>
      <c r="BA47" s="4746"/>
      <c r="BB47" s="4747"/>
      <c r="BC47" s="1178" t="s">
        <v>539</v>
      </c>
      <c r="BE47" s="427"/>
      <c r="BF47" s="427" t="str">
        <f t="shared" si="3"/>
        <v>Территория действия тарифа</v>
      </c>
      <c r="BG47" s="427"/>
      <c r="BH47" s="427"/>
    </row>
    <row r="48" spans="1:60" ht="42" customHeight="1">
      <c r="A48" s="1280" t="s">
        <v>291</v>
      </c>
      <c r="B48" s="1280" t="s">
        <v>292</v>
      </c>
      <c r="C48" s="1280" t="s">
        <v>293</v>
      </c>
      <c r="D48" s="1280"/>
      <c r="E48" s="4760"/>
      <c r="F48" s="4760"/>
      <c r="G48" s="4759">
        <v>1</v>
      </c>
      <c r="H48" s="1280"/>
      <c r="I48" s="1280"/>
      <c r="J48" s="1280"/>
      <c r="K48" s="1280"/>
      <c r="L48" s="1281"/>
      <c r="M48" s="1282"/>
      <c r="N48" s="1282"/>
      <c r="O48" s="1282"/>
      <c r="P48" s="1329"/>
      <c r="Q48" s="1328"/>
      <c r="R48" s="279"/>
      <c r="S48" s="1371" t="str">
        <f>INDEX(PT_DIFFERENTIATION_NUM_CS,MATCH(C48,PT_DIFFERENTIATION_CS_ID,0))</f>
        <v>..</v>
      </c>
      <c r="T48" s="230" t="s">
        <v>619</v>
      </c>
      <c r="U48" s="219"/>
      <c r="V48" s="4746"/>
      <c r="W48" s="4746"/>
      <c r="X48" s="4746"/>
      <c r="Y48" s="4746"/>
      <c r="Z48" s="4746"/>
      <c r="AA48" s="4746"/>
      <c r="AB48" s="4746"/>
      <c r="AC48" s="4747"/>
      <c r="AD48" s="4745" t="str">
        <f>INDEX(PT_DIFFERENTIATION_CS,MATCH(C48,PT_DIFFERENTIATION_CS_ID,0))</f>
        <v/>
      </c>
      <c r="AE48" s="4746"/>
      <c r="AF48" s="4746"/>
      <c r="AG48" s="4746"/>
      <c r="AH48" s="4746"/>
      <c r="AI48" s="4746"/>
      <c r="AJ48" s="4746"/>
      <c r="AK48" s="4746"/>
      <c r="AL48" s="4746"/>
      <c r="AM48" s="4746"/>
      <c r="AN48" s="4746"/>
      <c r="AO48" s="4746"/>
      <c r="AP48" s="4746"/>
      <c r="AQ48" s="4746"/>
      <c r="AR48" s="4746"/>
      <c r="AS48" s="4746"/>
      <c r="AT48" s="4746"/>
      <c r="AU48" s="4746"/>
      <c r="AV48" s="4746"/>
      <c r="AW48" s="4746"/>
      <c r="AX48" s="4746"/>
      <c r="AY48" s="4746"/>
      <c r="AZ48" s="4746"/>
      <c r="BA48" s="4746"/>
      <c r="BB48" s="4747"/>
      <c r="BC48" s="1178" t="s">
        <v>620</v>
      </c>
      <c r="BE48" s="427"/>
      <c r="BF48" s="427" t="str">
        <f t="shared" si="3"/>
        <v>Наименование централизованной системы холодного водоснабжения</v>
      </c>
      <c r="BG48" s="427"/>
      <c r="BH48" s="427"/>
    </row>
    <row r="49" spans="1:60" s="1821" customFormat="1" ht="0" hidden="1" customHeight="1">
      <c r="A49" s="1261" t="s">
        <v>291</v>
      </c>
      <c r="B49" s="1261" t="s">
        <v>292</v>
      </c>
      <c r="C49" s="1261" t="s">
        <v>293</v>
      </c>
      <c r="D49" s="1261" t="s">
        <v>651</v>
      </c>
      <c r="E49" s="4760"/>
      <c r="F49" s="4760"/>
      <c r="G49" s="4760"/>
      <c r="H49" s="4759">
        <v>1</v>
      </c>
      <c r="I49" s="1261"/>
      <c r="J49" s="1261"/>
      <c r="K49" s="1261"/>
      <c r="L49" s="1264"/>
      <c r="M49" s="1234"/>
      <c r="N49" s="1234"/>
      <c r="O49" s="1234"/>
      <c r="P49" s="1408"/>
      <c r="Q49" s="1409"/>
      <c r="R49" s="283"/>
      <c r="S49" s="950"/>
      <c r="T49" s="1410"/>
      <c r="U49" s="1301"/>
      <c r="V49" s="4787"/>
      <c r="W49" s="4787"/>
      <c r="X49" s="4787"/>
      <c r="Y49" s="4787"/>
      <c r="Z49" s="4787"/>
      <c r="AA49" s="4787"/>
      <c r="AB49" s="4787"/>
      <c r="AC49" s="4788"/>
      <c r="AD49" s="4786"/>
      <c r="AE49" s="4787"/>
      <c r="AF49" s="4787"/>
      <c r="AG49" s="4787"/>
      <c r="AH49" s="4787"/>
      <c r="AI49" s="4787"/>
      <c r="AJ49" s="4787"/>
      <c r="AK49" s="4787"/>
      <c r="AL49" s="4787"/>
      <c r="AM49" s="4787"/>
      <c r="AN49" s="4787"/>
      <c r="AO49" s="4787"/>
      <c r="AP49" s="4787"/>
      <c r="AQ49" s="4787"/>
      <c r="AR49" s="4787"/>
      <c r="AS49" s="4787"/>
      <c r="AT49" s="4787"/>
      <c r="AU49" s="4787"/>
      <c r="AV49" s="4787"/>
      <c r="AW49" s="4787"/>
      <c r="AX49" s="4787"/>
      <c r="AY49" s="4787"/>
      <c r="AZ49" s="4787"/>
      <c r="BA49" s="4787"/>
      <c r="BB49" s="4788"/>
      <c r="BC49" s="1302" t="s">
        <v>543</v>
      </c>
      <c r="BE49" s="427"/>
      <c r="BF49" s="427" t="str">
        <f t="shared" si="3"/>
        <v/>
      </c>
      <c r="BG49" s="427"/>
      <c r="BH49" s="427"/>
    </row>
    <row r="50" spans="1:60" s="1821" customFormat="1" ht="0" hidden="1" customHeight="1">
      <c r="A50" s="1261" t="s">
        <v>291</v>
      </c>
      <c r="B50" s="1261" t="s">
        <v>292</v>
      </c>
      <c r="C50" s="1261" t="s">
        <v>293</v>
      </c>
      <c r="D50" s="1261" t="s">
        <v>651</v>
      </c>
      <c r="E50" s="4760"/>
      <c r="F50" s="4760"/>
      <c r="G50" s="4760"/>
      <c r="H50" s="4760"/>
      <c r="I50" s="4757" t="str">
        <f>S49&amp;".1"</f>
        <v>.1</v>
      </c>
      <c r="J50" s="1261"/>
      <c r="K50" s="1261"/>
      <c r="L50" s="1264" t="s">
        <v>544</v>
      </c>
      <c r="M50" s="437"/>
      <c r="N50" s="437"/>
      <c r="O50" s="437"/>
      <c r="P50" s="4758">
        <v>1</v>
      </c>
      <c r="Q50" s="1375"/>
      <c r="R50" s="282"/>
      <c r="S50" s="950"/>
      <c r="T50" s="1300"/>
      <c r="U50" s="1301"/>
      <c r="V50" s="4787"/>
      <c r="W50" s="4787"/>
      <c r="X50" s="4787"/>
      <c r="Y50" s="4787"/>
      <c r="Z50" s="4787"/>
      <c r="AA50" s="4787"/>
      <c r="AB50" s="4787"/>
      <c r="AC50" s="4788"/>
      <c r="AD50" s="4786"/>
      <c r="AE50" s="4787"/>
      <c r="AF50" s="4787"/>
      <c r="AG50" s="4787"/>
      <c r="AH50" s="4787"/>
      <c r="AI50" s="4787"/>
      <c r="AJ50" s="4787"/>
      <c r="AK50" s="4787"/>
      <c r="AL50" s="4787"/>
      <c r="AM50" s="4787"/>
      <c r="AN50" s="4787"/>
      <c r="AO50" s="4787"/>
      <c r="AP50" s="4787"/>
      <c r="AQ50" s="4787"/>
      <c r="AR50" s="4787"/>
      <c r="AS50" s="4787"/>
      <c r="AT50" s="4787"/>
      <c r="AU50" s="4787"/>
      <c r="AV50" s="4787"/>
      <c r="AW50" s="4787"/>
      <c r="AX50" s="4787"/>
      <c r="AY50" s="4787"/>
      <c r="AZ50" s="4787"/>
      <c r="BA50" s="4787"/>
      <c r="BB50" s="4788"/>
      <c r="BC50" s="1302"/>
      <c r="BE50" s="427"/>
      <c r="BF50" s="427" t="str">
        <f t="shared" si="3"/>
        <v/>
      </c>
      <c r="BG50" s="427"/>
      <c r="BH50" s="427"/>
    </row>
    <row r="51" spans="1:60" s="1821" customFormat="1" ht="0" hidden="1" customHeight="1">
      <c r="A51" s="1261" t="s">
        <v>291</v>
      </c>
      <c r="B51" s="1261" t="s">
        <v>292</v>
      </c>
      <c r="C51" s="1261" t="s">
        <v>293</v>
      </c>
      <c r="D51" s="1261" t="s">
        <v>651</v>
      </c>
      <c r="E51" s="4760"/>
      <c r="F51" s="4760"/>
      <c r="G51" s="4760"/>
      <c r="H51" s="4760"/>
      <c r="I51" s="4780"/>
      <c r="J51" s="4757" t="str">
        <f>S49&amp;".1"</f>
        <v>.1</v>
      </c>
      <c r="K51" s="1261"/>
      <c r="L51" s="1264"/>
      <c r="M51" s="437"/>
      <c r="N51" s="437"/>
      <c r="O51" s="437"/>
      <c r="P51" s="4758"/>
      <c r="Q51" s="4758">
        <v>1</v>
      </c>
      <c r="R51" s="283"/>
      <c r="S51" s="950"/>
      <c r="T51" s="1316"/>
      <c r="U51" s="1301"/>
      <c r="V51" s="4787"/>
      <c r="W51" s="4787"/>
      <c r="X51" s="4787"/>
      <c r="Y51" s="4787"/>
      <c r="Z51" s="4787"/>
      <c r="AA51" s="4787"/>
      <c r="AB51" s="4787"/>
      <c r="AC51" s="4788"/>
      <c r="AD51" s="4786"/>
      <c r="AE51" s="4787"/>
      <c r="AF51" s="4787"/>
      <c r="AG51" s="4787"/>
      <c r="AH51" s="4787"/>
      <c r="AI51" s="4787"/>
      <c r="AJ51" s="4787"/>
      <c r="AK51" s="4787"/>
      <c r="AL51" s="4787"/>
      <c r="AM51" s="4787"/>
      <c r="AN51" s="4832"/>
      <c r="AO51" s="4832"/>
      <c r="AP51" s="4787"/>
      <c r="AQ51" s="4787"/>
      <c r="AR51" s="4787"/>
      <c r="AS51" s="4787"/>
      <c r="AT51" s="4787"/>
      <c r="AU51" s="4787"/>
      <c r="AV51" s="4787"/>
      <c r="AW51" s="4787"/>
      <c r="AX51" s="4787"/>
      <c r="AY51" s="4787"/>
      <c r="AZ51" s="4787"/>
      <c r="BA51" s="4787"/>
      <c r="BB51" s="4788"/>
      <c r="BC51" s="1302"/>
      <c r="BE51" s="427"/>
      <c r="BF51" s="427" t="str">
        <f t="shared" si="3"/>
        <v/>
      </c>
      <c r="BG51" s="427"/>
      <c r="BH51" s="427"/>
    </row>
    <row r="52" spans="1:60" ht="11.25" customHeight="1">
      <c r="A52" s="1280" t="s">
        <v>291</v>
      </c>
      <c r="B52" s="1280" t="s">
        <v>292</v>
      </c>
      <c r="C52" s="1280" t="s">
        <v>293</v>
      </c>
      <c r="D52" s="1280" t="s">
        <v>651</v>
      </c>
      <c r="E52" s="4760"/>
      <c r="F52" s="4760"/>
      <c r="G52" s="4760"/>
      <c r="H52" s="4760"/>
      <c r="I52" s="4780"/>
      <c r="J52" s="4780"/>
      <c r="K52" s="4757" t="str">
        <f>S48&amp;".1"</f>
        <v>...1</v>
      </c>
      <c r="L52" s="1281"/>
      <c r="P52" s="4758"/>
      <c r="Q52" s="4758"/>
      <c r="R52" s="283">
        <v>1</v>
      </c>
      <c r="S52" s="4809" t="str">
        <f>$K52</f>
        <v>...1</v>
      </c>
      <c r="T52" s="4827"/>
      <c r="U52" s="219"/>
      <c r="V52" s="669"/>
      <c r="W52" s="1177"/>
      <c r="X52" s="669"/>
      <c r="Y52" s="1177"/>
      <c r="Z52" s="1645"/>
      <c r="AA52" s="1373" t="s">
        <v>65</v>
      </c>
      <c r="AB52" s="1645"/>
      <c r="AC52" s="1373" t="s">
        <v>65</v>
      </c>
      <c r="AD52" s="4684" t="s">
        <v>65</v>
      </c>
      <c r="AE52" s="4795"/>
      <c r="AF52" s="4714">
        <v>1</v>
      </c>
      <c r="AG52" s="4831"/>
      <c r="AH52" s="4608" t="s">
        <v>65</v>
      </c>
      <c r="AI52" s="4795"/>
      <c r="AJ52" s="4714">
        <v>1</v>
      </c>
      <c r="AK52" s="4830" t="s">
        <v>24</v>
      </c>
      <c r="AL52" s="4608" t="s">
        <v>65</v>
      </c>
      <c r="AM52" s="4704"/>
      <c r="AN52" s="4714">
        <v>1</v>
      </c>
      <c r="AO52" s="4824"/>
      <c r="AP52" s="4825" t="s">
        <v>65</v>
      </c>
      <c r="AQ52" s="232"/>
      <c r="AR52" s="1376">
        <v>1</v>
      </c>
      <c r="AS52" s="1379" t="s">
        <v>24</v>
      </c>
      <c r="AT52" s="669"/>
      <c r="AU52" s="1177"/>
      <c r="AV52" s="669"/>
      <c r="AW52" s="1177"/>
      <c r="AX52" s="1645"/>
      <c r="AY52" s="1373" t="s">
        <v>65</v>
      </c>
      <c r="AZ52" s="1645"/>
      <c r="BA52" s="1373" t="s">
        <v>65</v>
      </c>
      <c r="BB52" s="1266"/>
      <c r="BC52" s="4754" t="s">
        <v>637</v>
      </c>
      <c r="BE52" s="427"/>
      <c r="BF52" s="427" t="str">
        <f t="shared" si="3"/>
        <v/>
      </c>
      <c r="BG52" s="427"/>
      <c r="BH52" s="427"/>
    </row>
    <row r="53" spans="1:60" ht="11.25" customHeight="1">
      <c r="A53" s="1280"/>
      <c r="B53" s="1280"/>
      <c r="C53" s="1280"/>
      <c r="D53" s="1280"/>
      <c r="E53" s="4760"/>
      <c r="F53" s="4760"/>
      <c r="G53" s="4760"/>
      <c r="H53" s="4760"/>
      <c r="I53" s="4780"/>
      <c r="J53" s="4780"/>
      <c r="K53" s="4757"/>
      <c r="L53" s="1281"/>
      <c r="P53" s="4758"/>
      <c r="Q53" s="4758"/>
      <c r="R53" s="283"/>
      <c r="S53" s="4810"/>
      <c r="T53" s="4828"/>
      <c r="U53" s="219"/>
      <c r="V53" s="1310"/>
      <c r="W53" s="1407"/>
      <c r="X53" s="1310"/>
      <c r="Y53" s="1407"/>
      <c r="Z53" s="1310"/>
      <c r="AA53" s="1310"/>
      <c r="AB53" s="1310"/>
      <c r="AC53" s="1310"/>
      <c r="AD53" s="4685"/>
      <c r="AE53" s="4795"/>
      <c r="AF53" s="4714"/>
      <c r="AG53" s="4831"/>
      <c r="AH53" s="4608"/>
      <c r="AI53" s="4795"/>
      <c r="AJ53" s="4714"/>
      <c r="AK53" s="4830"/>
      <c r="AL53" s="4608"/>
      <c r="AM53" s="4709"/>
      <c r="AN53" s="4714"/>
      <c r="AO53" s="4824"/>
      <c r="AP53" s="4826"/>
      <c r="AQ53" s="239"/>
      <c r="AR53" s="351"/>
      <c r="AS53" s="351" t="s">
        <v>638</v>
      </c>
      <c r="AT53" s="1310"/>
      <c r="AU53" s="1407"/>
      <c r="AV53" s="1310"/>
      <c r="AW53" s="1407"/>
      <c r="AX53" s="1310"/>
      <c r="AY53" s="1310"/>
      <c r="AZ53" s="1310"/>
      <c r="BA53" s="1310"/>
      <c r="BB53" s="1314"/>
      <c r="BC53" s="4755"/>
      <c r="BE53" s="427"/>
      <c r="BF53" s="427"/>
      <c r="BG53" s="427"/>
      <c r="BH53" s="427"/>
    </row>
    <row r="54" spans="1:60" ht="11.25" customHeight="1">
      <c r="A54" s="1280" t="s">
        <v>291</v>
      </c>
      <c r="B54" s="1280"/>
      <c r="C54" s="1280"/>
      <c r="D54" s="1280"/>
      <c r="E54" s="4760"/>
      <c r="F54" s="4760"/>
      <c r="G54" s="4760"/>
      <c r="H54" s="4760"/>
      <c r="I54" s="4780"/>
      <c r="J54" s="4780"/>
      <c r="K54" s="4757"/>
      <c r="L54" s="1281"/>
      <c r="P54" s="4758"/>
      <c r="Q54" s="4758"/>
      <c r="R54" s="283"/>
      <c r="S54" s="4810"/>
      <c r="T54" s="4828"/>
      <c r="U54" s="219"/>
      <c r="V54" s="1310"/>
      <c r="W54" s="1407"/>
      <c r="X54" s="1310"/>
      <c r="Y54" s="1407"/>
      <c r="Z54" s="1310"/>
      <c r="AA54" s="1310"/>
      <c r="AB54" s="1310"/>
      <c r="AC54" s="1310"/>
      <c r="AD54" s="4685"/>
      <c r="AE54" s="4795"/>
      <c r="AF54" s="4714"/>
      <c r="AG54" s="4831"/>
      <c r="AH54" s="4608"/>
      <c r="AI54" s="4795"/>
      <c r="AJ54" s="4714"/>
      <c r="AK54" s="4830"/>
      <c r="AL54" s="4608"/>
      <c r="AM54" s="239"/>
      <c r="AN54" s="1411"/>
      <c r="AO54" s="1411" t="s">
        <v>639</v>
      </c>
      <c r="AP54" s="351"/>
      <c r="AQ54" s="351"/>
      <c r="AR54" s="351"/>
      <c r="AS54" s="1310"/>
      <c r="AT54" s="1310"/>
      <c r="AU54" s="1407"/>
      <c r="AV54" s="1310"/>
      <c r="AW54" s="1407"/>
      <c r="AX54" s="1310"/>
      <c r="AY54" s="1310"/>
      <c r="AZ54" s="1310"/>
      <c r="BA54" s="1310"/>
      <c r="BB54" s="1314"/>
      <c r="BC54" s="4755"/>
      <c r="BE54" s="427"/>
      <c r="BF54" s="427"/>
      <c r="BG54" s="427"/>
      <c r="BH54" s="427"/>
    </row>
    <row r="55" spans="1:60" ht="11.25" customHeight="1">
      <c r="A55" s="1280" t="s">
        <v>291</v>
      </c>
      <c r="B55" s="1280"/>
      <c r="C55" s="1280"/>
      <c r="D55" s="1280"/>
      <c r="E55" s="4760"/>
      <c r="F55" s="4760"/>
      <c r="G55" s="4760"/>
      <c r="H55" s="4760"/>
      <c r="I55" s="4780"/>
      <c r="J55" s="4780"/>
      <c r="K55" s="4757"/>
      <c r="L55" s="1281"/>
      <c r="P55" s="4758"/>
      <c r="Q55" s="4758"/>
      <c r="R55" s="283"/>
      <c r="S55" s="4810"/>
      <c r="T55" s="4828"/>
      <c r="U55" s="219"/>
      <c r="V55" s="1310"/>
      <c r="W55" s="1407"/>
      <c r="X55" s="1310"/>
      <c r="Y55" s="1407"/>
      <c r="Z55" s="1310"/>
      <c r="AA55" s="1310"/>
      <c r="AB55" s="1310"/>
      <c r="AC55" s="1310"/>
      <c r="AD55" s="4685"/>
      <c r="AE55" s="4795"/>
      <c r="AF55" s="4714"/>
      <c r="AG55" s="4831"/>
      <c r="AH55" s="4608"/>
      <c r="AI55" s="213"/>
      <c r="AJ55" s="350"/>
      <c r="AK55" s="234" t="s">
        <v>640</v>
      </c>
      <c r="AL55" s="1310"/>
      <c r="AM55" s="1310"/>
      <c r="AN55" s="1310"/>
      <c r="AO55" s="1310"/>
      <c r="AP55" s="1310"/>
      <c r="AQ55" s="1310"/>
      <c r="AR55" s="1310"/>
      <c r="AS55" s="1310"/>
      <c r="AT55" s="1310"/>
      <c r="AU55" s="1407"/>
      <c r="AV55" s="1310"/>
      <c r="AW55" s="1407"/>
      <c r="AX55" s="1310"/>
      <c r="AY55" s="1310"/>
      <c r="AZ55" s="1310"/>
      <c r="BA55" s="1310"/>
      <c r="BB55" s="1314"/>
      <c r="BC55" s="4755"/>
      <c r="BE55" s="427"/>
      <c r="BF55" s="427"/>
      <c r="BG55" s="427"/>
      <c r="BH55" s="427"/>
    </row>
    <row r="56" spans="1:60" ht="11.25" customHeight="1">
      <c r="A56" s="1280" t="s">
        <v>291</v>
      </c>
      <c r="B56" s="1280" t="s">
        <v>292</v>
      </c>
      <c r="C56" s="1280" t="s">
        <v>293</v>
      </c>
      <c r="D56" s="1280" t="s">
        <v>651</v>
      </c>
      <c r="E56" s="4760"/>
      <c r="F56" s="4760"/>
      <c r="G56" s="4760"/>
      <c r="H56" s="4760"/>
      <c r="I56" s="4780"/>
      <c r="J56" s="4780"/>
      <c r="K56" s="4757"/>
      <c r="L56" s="1281"/>
      <c r="P56" s="4758"/>
      <c r="Q56" s="4758"/>
      <c r="R56" s="283"/>
      <c r="S56" s="4811"/>
      <c r="T56" s="4829"/>
      <c r="U56" s="219"/>
      <c r="V56" s="1310"/>
      <c r="W56" s="1311" t="str">
        <f>Z52&amp;"-"&amp;AB52</f>
        <v>-</v>
      </c>
      <c r="X56" s="1310"/>
      <c r="Y56" s="1311" t="str">
        <f>AB52&amp;"-"&amp;AD52</f>
        <v>-да</v>
      </c>
      <c r="Z56" s="1310"/>
      <c r="AA56" s="1310"/>
      <c r="AB56" s="1310"/>
      <c r="AC56" s="1310"/>
      <c r="AD56" s="4613"/>
      <c r="AE56" s="233"/>
      <c r="AF56" s="235"/>
      <c r="AG56" s="351" t="s">
        <v>641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4755"/>
      <c r="BE56" s="427"/>
      <c r="BF56" s="427" t="str">
        <f t="shared" ref="BF56:BF63" si="4">IF(T56="","",T56)</f>
        <v/>
      </c>
      <c r="BG56" s="427"/>
      <c r="BH56" s="427"/>
    </row>
    <row r="57" spans="1:60" ht="11.25" customHeight="1">
      <c r="A57" s="1280" t="s">
        <v>291</v>
      </c>
      <c r="B57" s="1280" t="s">
        <v>292</v>
      </c>
      <c r="C57" s="1280" t="s">
        <v>293</v>
      </c>
      <c r="D57" s="1280" t="s">
        <v>651</v>
      </c>
      <c r="E57" s="4760"/>
      <c r="F57" s="4760"/>
      <c r="G57" s="4760"/>
      <c r="H57" s="4760"/>
      <c r="I57" s="4780"/>
      <c r="J57" s="4757"/>
      <c r="K57" s="1280"/>
      <c r="L57" s="1281"/>
      <c r="P57" s="4758"/>
      <c r="Q57" s="4758"/>
      <c r="R57" s="282"/>
      <c r="S57" s="1199"/>
      <c r="T57" s="206" t="s">
        <v>605</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4756"/>
      <c r="BE57" s="427"/>
      <c r="BF57" s="427" t="str">
        <f t="shared" si="4"/>
        <v>Добавить строку</v>
      </c>
      <c r="BG57" s="427"/>
      <c r="BH57" s="427"/>
    </row>
    <row r="58" spans="1:60" s="1821" customFormat="1" ht="0" hidden="1" customHeight="1">
      <c r="A58" s="1261" t="s">
        <v>291</v>
      </c>
      <c r="B58" s="1261" t="s">
        <v>292</v>
      </c>
      <c r="C58" s="1261" t="s">
        <v>293</v>
      </c>
      <c r="D58" s="1261" t="s">
        <v>651</v>
      </c>
      <c r="E58" s="4760"/>
      <c r="F58" s="4760"/>
      <c r="G58" s="4760"/>
      <c r="H58" s="4760"/>
      <c r="I58" s="4757"/>
      <c r="J58" s="1261"/>
      <c r="K58" s="1261"/>
      <c r="L58" s="1264"/>
      <c r="M58" s="437"/>
      <c r="N58" s="437"/>
      <c r="O58" s="437"/>
      <c r="P58" s="4758"/>
      <c r="Q58" s="1375"/>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1" customFormat="1" ht="0" hidden="1" customHeight="1">
      <c r="A59" s="1261" t="s">
        <v>291</v>
      </c>
      <c r="B59" s="1261" t="s">
        <v>292</v>
      </c>
      <c r="C59" s="1261" t="s">
        <v>293</v>
      </c>
      <c r="D59" s="1261" t="s">
        <v>651</v>
      </c>
      <c r="E59" s="4760"/>
      <c r="F59" s="4760"/>
      <c r="G59" s="4760"/>
      <c r="H59" s="4759"/>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46" customFormat="1" ht="0" hidden="1" customHeight="1">
      <c r="A60" s="1261" t="s">
        <v>291</v>
      </c>
      <c r="B60" s="1261" t="s">
        <v>292</v>
      </c>
      <c r="C60" s="1261" t="s">
        <v>293</v>
      </c>
      <c r="D60" s="1233"/>
      <c r="E60" s="4760"/>
      <c r="F60" s="4760"/>
      <c r="G60" s="4759"/>
      <c r="H60" s="1233"/>
      <c r="I60" s="1233"/>
      <c r="J60" s="1233"/>
      <c r="K60" s="1233"/>
      <c r="L60" s="1377"/>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46" customFormat="1" ht="0" hidden="1" customHeight="1">
      <c r="A61" s="1261" t="s">
        <v>291</v>
      </c>
      <c r="B61" s="1261" t="s">
        <v>292</v>
      </c>
      <c r="C61" s="1233"/>
      <c r="D61" s="1233"/>
      <c r="E61" s="4760"/>
      <c r="F61" s="4759"/>
      <c r="G61" s="1233"/>
      <c r="H61" s="1233"/>
      <c r="I61" s="1233"/>
      <c r="J61" s="1233"/>
      <c r="K61" s="1233"/>
      <c r="L61" s="1377"/>
      <c r="M61" s="1240"/>
      <c r="N61" s="1240"/>
      <c r="P61" s="1235"/>
      <c r="Q61" s="1236"/>
      <c r="R61" s="1235"/>
      <c r="S61" s="1241"/>
      <c r="T61" s="1244" t="s">
        <v>316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1" customFormat="1" ht="0" hidden="1" customHeight="1">
      <c r="A62" s="1261" t="s">
        <v>291</v>
      </c>
      <c r="B62" s="1261"/>
      <c r="C62" s="1261"/>
      <c r="D62" s="1261"/>
      <c r="E62" s="4759"/>
      <c r="F62" s="1261"/>
      <c r="G62" s="1261"/>
      <c r="H62" s="1261"/>
      <c r="I62" s="1261"/>
      <c r="J62" s="1261"/>
      <c r="K62" s="1261"/>
      <c r="L62" s="1264"/>
      <c r="M62" s="1240"/>
      <c r="N62" s="1240"/>
      <c r="O62" s="445"/>
      <c r="P62" s="314"/>
      <c r="Q62" s="1262"/>
      <c r="R62" s="314"/>
      <c r="S62" s="1241"/>
      <c r="T62" s="1244" t="s">
        <v>317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46" customFormat="1" ht="0" hidden="1" customHeight="1">
      <c r="A63" s="1233"/>
      <c r="B63" s="1233"/>
      <c r="C63" s="1233"/>
      <c r="D63" s="1233"/>
      <c r="E63" s="1261"/>
      <c r="F63" s="1233"/>
      <c r="G63" s="1233"/>
      <c r="H63" s="1233"/>
      <c r="I63" s="1233"/>
      <c r="J63" s="1233"/>
      <c r="K63" s="1233"/>
      <c r="L63" s="1377"/>
      <c r="M63" s="1240"/>
      <c r="N63" s="1240"/>
      <c r="P63" s="1235"/>
      <c r="Q63" s="1236"/>
      <c r="R63" s="1235"/>
      <c r="S63" s="1241"/>
      <c r="T63" s="1244" t="s">
        <v>407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4779"/>
      <c r="U65" s="4779"/>
      <c r="V65" s="4779"/>
      <c r="W65" s="4779"/>
      <c r="X65" s="4779"/>
      <c r="Y65" s="4779"/>
      <c r="Z65" s="4779"/>
      <c r="AA65" s="4779"/>
      <c r="AB65" s="4779"/>
      <c r="AC65" s="4779"/>
      <c r="AD65" s="4779"/>
      <c r="AE65" s="4779"/>
      <c r="AF65" s="4779"/>
      <c r="AG65" s="4779"/>
      <c r="AH65" s="4779"/>
      <c r="AI65" s="4779"/>
      <c r="AJ65" s="4779"/>
      <c r="AK65" s="4779"/>
      <c r="AL65" s="4779"/>
      <c r="AM65" s="4779"/>
      <c r="AN65" s="4779"/>
      <c r="AO65" s="4779"/>
      <c r="AP65" s="4779"/>
      <c r="AQ65" s="4779"/>
      <c r="AR65" s="4779"/>
      <c r="AS65" s="4779"/>
      <c r="AT65" s="4779"/>
      <c r="AU65" s="4779"/>
      <c r="AV65" s="4779"/>
      <c r="AW65" s="4779"/>
      <c r="AX65" s="4779"/>
      <c r="AY65" s="4779"/>
      <c r="AZ65" s="4779"/>
      <c r="BA65" s="4779"/>
      <c r="BB65" s="4779"/>
      <c r="BC65" s="4779"/>
    </row>
    <row r="66" spans="15:55" ht="14.25" customHeight="1">
      <c r="O66" s="46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c r="AV66" s="1363"/>
      <c r="AW66" s="1363"/>
      <c r="AX66" s="1363"/>
      <c r="AY66" s="1363"/>
      <c r="AZ66" s="1363"/>
      <c r="BA66" s="1363"/>
      <c r="BB66" s="1363"/>
      <c r="BC66" s="1363"/>
    </row>
    <row r="67" spans="15:55" ht="18.75" customHeight="1">
      <c r="O67" s="463"/>
      <c r="S67" s="1165"/>
      <c r="T67" s="4779"/>
      <c r="U67" s="4779"/>
      <c r="V67" s="4779"/>
      <c r="W67" s="4779"/>
      <c r="X67" s="4779"/>
      <c r="Y67" s="4779"/>
      <c r="Z67" s="4779"/>
      <c r="AA67" s="4779"/>
      <c r="AB67" s="4779"/>
      <c r="AC67" s="4779"/>
      <c r="AD67" s="4779"/>
      <c r="AE67" s="4779"/>
      <c r="AF67" s="4779"/>
      <c r="AG67" s="4779"/>
      <c r="AH67" s="4779"/>
      <c r="AI67" s="4779"/>
      <c r="AJ67" s="4779"/>
      <c r="AK67" s="4779"/>
      <c r="AL67" s="4779"/>
      <c r="AM67" s="4779"/>
      <c r="AN67" s="4779"/>
      <c r="AO67" s="4779"/>
      <c r="AP67" s="4779"/>
      <c r="AQ67" s="4779"/>
      <c r="AR67" s="4779"/>
      <c r="AS67" s="4779"/>
      <c r="AT67" s="4779"/>
      <c r="AU67" s="4779"/>
      <c r="AV67" s="4779"/>
      <c r="AW67" s="4779"/>
      <c r="AX67" s="4779"/>
      <c r="AY67" s="4779"/>
      <c r="AZ67" s="4779"/>
      <c r="BA67" s="4779"/>
      <c r="BB67" s="4779"/>
      <c r="BC67" s="4779"/>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P513"/>
  <sheetViews>
    <sheetView showGridLines="0" tabSelected="1" topLeftCell="P23" zoomScale="90" workbookViewId="0">
      <selection activeCell="T513" sqref="T513:AK513"/>
    </sheetView>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5" hidden="1" customWidth="1"/>
    <col min="13" max="14" width="12.28515625" style="1948" hidden="1" customWidth="1"/>
    <col min="15" max="15" width="23.42578125" style="1948" hidden="1" customWidth="1"/>
    <col min="16" max="16" width="3.7109375" style="4066"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404"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98"/>
      <c r="Q3" s="278"/>
      <c r="R3" s="279"/>
      <c r="S3" s="1404"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404" t="e">
        <f>INDEX(PT_DIFFERENTIATION_NUM_CS,MATCH(C4,PT_DIFFERENTIATION_CS_ID,0))</f>
        <v>#N/A</v>
      </c>
      <c r="T4" s="230" t="s">
        <v>652</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653</v>
      </c>
      <c r="AM4" s="427"/>
      <c r="AN4" s="427" t="str">
        <f t="shared" si="0"/>
        <v>Наименование централизованной системы водоотведения</v>
      </c>
      <c r="AO4" s="427"/>
      <c r="AP4" s="427"/>
    </row>
    <row r="5" spans="1:42" ht="23.25" hidden="1" customHeight="1">
      <c r="A5" s="1280"/>
      <c r="B5" s="1280"/>
      <c r="C5" s="1280"/>
      <c r="D5" s="1280"/>
      <c r="E5" s="4760"/>
      <c r="F5" s="4760"/>
      <c r="G5" s="4760"/>
      <c r="H5" s="4760"/>
      <c r="I5" s="4757" t="e">
        <f>S4&amp;".1"</f>
        <v>#N/A</v>
      </c>
      <c r="J5" s="1280"/>
      <c r="K5" s="1280"/>
      <c r="L5" s="1281"/>
      <c r="P5" s="4758">
        <v>1</v>
      </c>
      <c r="Q5" s="1392"/>
      <c r="R5" s="282"/>
      <c r="S5" s="1404"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404"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404"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401"/>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92"/>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405"/>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89"/>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89"/>
      <c r="M19" s="1279"/>
      <c r="N19" s="1279"/>
      <c r="O19" s="1279"/>
      <c r="P19" s="1279"/>
      <c r="Q19" s="1288"/>
      <c r="R19" s="1288"/>
      <c r="S19" s="649"/>
      <c r="AB19" s="1283"/>
      <c r="AI19" s="1283"/>
      <c r="AL19" s="438"/>
      <c r="AM19" s="438"/>
      <c r="AN19" s="438"/>
      <c r="AO19" s="438"/>
      <c r="AP19" s="438"/>
    </row>
    <row r="20" spans="1:42" s="1835" customFormat="1" ht="12" hidden="1" customHeight="1">
      <c r="L20" s="1389"/>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94" t="s">
        <v>627</v>
      </c>
      <c r="W38" s="4598" t="s">
        <v>574</v>
      </c>
      <c r="X38" s="4597"/>
      <c r="Y38" s="4598" t="s">
        <v>575</v>
      </c>
      <c r="Z38" s="4604"/>
      <c r="AA38" s="4597"/>
      <c r="AB38" s="4772"/>
      <c r="AC38" s="1394" t="s">
        <v>627</v>
      </c>
      <c r="AD38" s="4598" t="s">
        <v>574</v>
      </c>
      <c r="AE38" s="4597"/>
      <c r="AF38" s="4598" t="s">
        <v>575</v>
      </c>
      <c r="AG38" s="4604"/>
      <c r="AH38" s="4597"/>
      <c r="AI38" s="4772"/>
      <c r="AJ38" s="4775"/>
      <c r="AK38" s="4627"/>
    </row>
    <row r="39" spans="1:42" ht="86.2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94" t="s">
        <v>654</v>
      </c>
      <c r="W39" s="1129" t="s">
        <v>655</v>
      </c>
      <c r="X39" s="1129" t="s">
        <v>632</v>
      </c>
      <c r="Y39" s="1400" t="s">
        <v>585</v>
      </c>
      <c r="Z39" s="4727" t="s">
        <v>586</v>
      </c>
      <c r="AA39" s="4729"/>
      <c r="AB39" s="4773"/>
      <c r="AC39" s="1394" t="s">
        <v>654</v>
      </c>
      <c r="AD39" s="1129" t="s">
        <v>655</v>
      </c>
      <c r="AE39" s="1129" t="s">
        <v>632</v>
      </c>
      <c r="AF39" s="1400" t="s">
        <v>585</v>
      </c>
      <c r="AG39" s="4727" t="s">
        <v>586</v>
      </c>
      <c r="AH39" s="4729"/>
      <c r="AI39" s="4773"/>
      <c r="AJ39" s="4776"/>
      <c r="AK39" s="4627"/>
    </row>
    <row r="40" spans="1:42" s="1820"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93">
        <f ca="1">OFFSET(V40,0,-1)+1</f>
        <v>3</v>
      </c>
      <c r="W40" s="1393">
        <f ca="1">OFFSET(W40,0,-1)+1</f>
        <v>4</v>
      </c>
      <c r="X40" s="1393">
        <f ca="1">OFFSET(X40,0,-1)+1</f>
        <v>5</v>
      </c>
      <c r="Y40" s="1393">
        <f ca="1">OFFSET(Y40,0,-1)+1</f>
        <v>6</v>
      </c>
      <c r="Z40" s="4766">
        <f ca="1">OFFSET(Z40,0,-1)+1</f>
        <v>7</v>
      </c>
      <c r="AA40" s="4766"/>
      <c r="AB40" s="1393">
        <f ca="1">OFFSET(AB40,0,-2)+1</f>
        <v>8</v>
      </c>
      <c r="AC40" s="1393">
        <f ca="1">OFFSET(AC40,0,-1)+1</f>
        <v>9</v>
      </c>
      <c r="AD40" s="1393">
        <f ca="1">OFFSET(AD40,0,-1)+1</f>
        <v>10</v>
      </c>
      <c r="AE40" s="1393">
        <f ca="1">OFFSET(AE40,0,-1)+1</f>
        <v>11</v>
      </c>
      <c r="AF40" s="1393">
        <f ca="1">OFFSET(AF40,0,-1)+1</f>
        <v>12</v>
      </c>
      <c r="AG40" s="4766">
        <f ca="1">OFFSET(AG40,0,-1)+1</f>
        <v>13</v>
      </c>
      <c r="AH40" s="4766"/>
      <c r="AI40" s="1393">
        <f ca="1">OFFSET(AI40,0,-2)+1</f>
        <v>14</v>
      </c>
      <c r="AJ40" s="1155">
        <f ca="1">OFFSET(AJ40,0,-1)</f>
        <v>14</v>
      </c>
      <c r="AK40" s="1393">
        <f ca="1">OFFSET(AK40,0,-1)+1</f>
        <v>15</v>
      </c>
      <c r="AL40" s="438"/>
      <c r="AM40" s="438"/>
      <c r="AN40" s="438"/>
      <c r="AO40" s="438"/>
      <c r="AP40" s="438"/>
    </row>
    <row r="41" spans="1:42" ht="23.25" customHeight="1">
      <c r="A41" s="1280" t="s">
        <v>313</v>
      </c>
      <c r="B41" s="1280"/>
      <c r="C41" s="1280"/>
      <c r="D41" s="1280"/>
      <c r="E41" s="4759">
        <v>1</v>
      </c>
      <c r="F41" s="1280"/>
      <c r="G41" s="1280"/>
      <c r="H41" s="1280"/>
      <c r="I41" s="1280"/>
      <c r="J41" s="1280"/>
      <c r="K41" s="1280"/>
      <c r="L41" s="1281"/>
      <c r="M41" s="1282"/>
      <c r="N41" s="1282"/>
      <c r="O41" s="1282"/>
      <c r="P41" s="287"/>
      <c r="Q41" s="286"/>
      <c r="R41" s="281"/>
      <c r="S41" s="1404">
        <f>INDEX(PT_DIFFERENTIATION_NUM_NTAR,MATCH(A41,PT_DIFFERENTIATION_NTAR_ID,0))</f>
        <v>1</v>
      </c>
      <c r="T41" s="217" t="s">
        <v>185</v>
      </c>
      <c r="U41" s="219"/>
      <c r="V41" s="4745"/>
      <c r="W41" s="4746"/>
      <c r="X41" s="4746"/>
      <c r="Y41" s="4746"/>
      <c r="Z41" s="4746"/>
      <c r="AA41" s="4746"/>
      <c r="AB41" s="4747"/>
      <c r="AC41" s="4745" t="str">
        <f>INDEX(PT_DIFFERENTIATION_NTAR,MATCH(A41,PT_DIFFERENTIATION_NTAR_ID,0))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104" si="1">IF(T41="","",T41)</f>
        <v>Наименование тарифа</v>
      </c>
      <c r="AO41" s="427"/>
      <c r="AP41" s="427"/>
    </row>
    <row r="42" spans="1:42" ht="23.25" customHeight="1">
      <c r="A42" s="1280" t="s">
        <v>313</v>
      </c>
      <c r="B42" s="1280" t="s">
        <v>314</v>
      </c>
      <c r="C42" s="1280"/>
      <c r="D42" s="1280"/>
      <c r="E42" s="4760"/>
      <c r="F42" s="4759">
        <v>1</v>
      </c>
      <c r="G42" s="1280"/>
      <c r="H42" s="1280"/>
      <c r="I42" s="1280"/>
      <c r="J42" s="1280"/>
      <c r="K42" s="1280"/>
      <c r="L42" s="1281"/>
      <c r="M42" s="1282"/>
      <c r="N42" s="1282"/>
      <c r="O42" s="1282"/>
      <c r="P42" s="1398"/>
      <c r="Q42" s="278"/>
      <c r="R42" s="279"/>
      <c r="S42" s="1404" t="str">
        <f>INDEX(PT_DIFFERENTIATION_NUM_TER,MATCH(B42,PT_DIFFERENTIATION_TER_ID,0))</f>
        <v>1.1</v>
      </c>
      <c r="T42" s="229" t="s">
        <v>538</v>
      </c>
      <c r="U42" s="219"/>
      <c r="V42" s="4745"/>
      <c r="W42" s="4746"/>
      <c r="X42" s="4746"/>
      <c r="Y42" s="4746"/>
      <c r="Z42" s="4746"/>
      <c r="AA42" s="4746"/>
      <c r="AB42" s="4747"/>
      <c r="AC42" s="4745" t="str">
        <f>INDEX(PT_DIFFERENTIATION_TER,MATCH(B42,PT_DIFFERENTIATION_TER_ID,0))</f>
        <v>Территория 1</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313</v>
      </c>
      <c r="B43" s="1280" t="s">
        <v>314</v>
      </c>
      <c r="C43" s="1280" t="s">
        <v>315</v>
      </c>
      <c r="D43" s="1280"/>
      <c r="E43" s="4760"/>
      <c r="F43" s="4760"/>
      <c r="G43" s="4759">
        <v>1</v>
      </c>
      <c r="H43" s="1280"/>
      <c r="I43" s="1280"/>
      <c r="J43" s="1280"/>
      <c r="K43" s="1280"/>
      <c r="L43" s="1281"/>
      <c r="M43" s="1282"/>
      <c r="N43" s="1282"/>
      <c r="O43" s="1282"/>
      <c r="P43" s="280"/>
      <c r="Q43" s="278"/>
      <c r="R43" s="279"/>
      <c r="S43" s="1404" t="str">
        <f>INDEX(PT_DIFFERENTIATION_NUM_CS,MATCH(C43,PT_DIFFERENTIATION_CS_ID,0))</f>
        <v>1.1.1</v>
      </c>
      <c r="T43" s="230" t="s">
        <v>652</v>
      </c>
      <c r="U43" s="219"/>
      <c r="V43" s="4745"/>
      <c r="W43" s="4746"/>
      <c r="X43" s="4746"/>
      <c r="Y43" s="4746"/>
      <c r="Z43" s="4746"/>
      <c r="AA43" s="4746"/>
      <c r="AB43" s="4747"/>
      <c r="AC43" s="4745" t="str">
        <f>INDEX(PT_DIFFERENTIATION_CS,MATCH(C43,PT_DIFFERENTIATION_CS_ID,0))</f>
        <v>без дифференциации</v>
      </c>
      <c r="AD43" s="4746"/>
      <c r="AE43" s="4746"/>
      <c r="AF43" s="4746"/>
      <c r="AG43" s="4746"/>
      <c r="AH43" s="4746"/>
      <c r="AI43" s="4746"/>
      <c r="AJ43" s="4747"/>
      <c r="AK43" s="1178" t="s">
        <v>653</v>
      </c>
      <c r="AM43" s="427"/>
      <c r="AN43" s="427" t="str">
        <f t="shared" si="1"/>
        <v>Наименование централизованной системы водоотведения</v>
      </c>
      <c r="AO43" s="427"/>
      <c r="AP43" s="427"/>
    </row>
    <row r="44" spans="1:42" ht="23.25" customHeight="1">
      <c r="A44" s="1280" t="s">
        <v>313</v>
      </c>
      <c r="B44" s="1280" t="s">
        <v>314</v>
      </c>
      <c r="C44" s="1280" t="s">
        <v>315</v>
      </c>
      <c r="D44" s="1280" t="s">
        <v>656</v>
      </c>
      <c r="E44" s="4760"/>
      <c r="F44" s="4760"/>
      <c r="G44" s="4760"/>
      <c r="H44" s="4760"/>
      <c r="I44" s="4757" t="str">
        <f>S43&amp;".1"</f>
        <v>1.1.1.1</v>
      </c>
      <c r="J44" s="1280"/>
      <c r="K44" s="1280"/>
      <c r="L44" s="1281"/>
      <c r="P44" s="4758">
        <v>1</v>
      </c>
      <c r="Q44" s="1392"/>
      <c r="R44" s="282"/>
      <c r="S44" s="1404" t="str">
        <f>$I44</f>
        <v>1.1.1.1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313</v>
      </c>
      <c r="B45" s="1280" t="s">
        <v>314</v>
      </c>
      <c r="C45" s="1280" t="s">
        <v>315</v>
      </c>
      <c r="D45" s="1280" t="s">
        <v>656</v>
      </c>
      <c r="E45" s="4760"/>
      <c r="F45" s="4760"/>
      <c r="G45" s="4760"/>
      <c r="H45" s="4760"/>
      <c r="I45" s="4780"/>
      <c r="J45" s="4757" t="str">
        <f>I44&amp;".1"</f>
        <v>1.1.1.1.1</v>
      </c>
      <c r="K45" s="1280"/>
      <c r="L45" s="1281" t="s">
        <v>547</v>
      </c>
      <c r="P45" s="4758"/>
      <c r="Q45" s="4758">
        <v>1</v>
      </c>
      <c r="R45" s="283"/>
      <c r="S45" s="1404" t="str">
        <f>$J45</f>
        <v>1.1.1.1.1</v>
      </c>
      <c r="T45" s="205" t="s">
        <v>548</v>
      </c>
      <c r="U45" s="219"/>
      <c r="V45" s="4748"/>
      <c r="W45" s="4749"/>
      <c r="X45" s="4749"/>
      <c r="Y45" s="4749"/>
      <c r="Z45" s="4749"/>
      <c r="AA45" s="4749"/>
      <c r="AB45" s="4750"/>
      <c r="AC45" s="4748" t="s">
        <v>657</v>
      </c>
      <c r="AD45" s="4749"/>
      <c r="AE45" s="4749"/>
      <c r="AF45" s="4749"/>
      <c r="AG45" s="4749"/>
      <c r="AH45" s="4749"/>
      <c r="AI45" s="4749"/>
      <c r="AJ45" s="4750"/>
      <c r="AK45" s="1227" t="s">
        <v>623</v>
      </c>
      <c r="AM45" s="427"/>
      <c r="AN45" s="427" t="str">
        <f t="shared" si="1"/>
        <v>Группа потребителей</v>
      </c>
      <c r="AO45" s="427"/>
      <c r="AP45" s="427"/>
    </row>
    <row r="46" spans="1:42" ht="25.9" customHeight="1">
      <c r="A46" s="1280" t="s">
        <v>313</v>
      </c>
      <c r="B46" s="1280" t="s">
        <v>314</v>
      </c>
      <c r="C46" s="1280" t="s">
        <v>315</v>
      </c>
      <c r="D46" s="1280" t="s">
        <v>656</v>
      </c>
      <c r="E46" s="4760"/>
      <c r="F46" s="4760"/>
      <c r="G46" s="4760"/>
      <c r="H46" s="4760"/>
      <c r="I46" s="4780"/>
      <c r="J46" s="4780"/>
      <c r="K46" s="4757" t="str">
        <f>J45&amp;".1"</f>
        <v>1.1.1.1.1.1</v>
      </c>
      <c r="L46" s="1281"/>
      <c r="P46" s="4758"/>
      <c r="Q46" s="4758"/>
      <c r="R46" s="283">
        <v>1</v>
      </c>
      <c r="S46" s="1404" t="str">
        <f>$K46</f>
        <v>1.1.1.1.1.1</v>
      </c>
      <c r="T46" s="1353" t="s">
        <v>658</v>
      </c>
      <c r="U46" s="219"/>
      <c r="V46" s="1277"/>
      <c r="W46" s="1277"/>
      <c r="X46" s="1278"/>
      <c r="Y46" s="4764"/>
      <c r="Z46" s="4765" t="s">
        <v>65</v>
      </c>
      <c r="AA46" s="4764"/>
      <c r="AB46" s="4765" t="s">
        <v>65</v>
      </c>
      <c r="AC46" s="669">
        <v>6.72</v>
      </c>
      <c r="AD46" s="669"/>
      <c r="AE46" s="1177"/>
      <c r="AF46" s="4762">
        <v>45292.426249999997</v>
      </c>
      <c r="AG46" s="4608" t="s">
        <v>65</v>
      </c>
      <c r="AH46" s="4781">
        <v>45473.426388888889</v>
      </c>
      <c r="AI46" s="4608" t="s">
        <v>55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Население (с учетом НДС)</v>
      </c>
      <c r="AO46" s="427"/>
      <c r="AP46" s="427"/>
    </row>
    <row r="47" spans="1:42" ht="3.4" customHeight="1">
      <c r="A47" s="1280" t="s">
        <v>313</v>
      </c>
      <c r="B47" s="1280" t="s">
        <v>314</v>
      </c>
      <c r="C47" s="1280" t="s">
        <v>315</v>
      </c>
      <c r="D47" s="1280" t="s">
        <v>656</v>
      </c>
      <c r="E47" s="4760"/>
      <c r="F47" s="4760"/>
      <c r="G47" s="4760"/>
      <c r="H47" s="4760"/>
      <c r="I47" s="4780"/>
      <c r="J47" s="4780"/>
      <c r="K47" s="4757"/>
      <c r="L47" s="1281"/>
      <c r="P47" s="4758"/>
      <c r="Q47" s="4758"/>
      <c r="R47" s="283"/>
      <c r="S47" s="1401"/>
      <c r="T47" s="219"/>
      <c r="U47" s="219"/>
      <c r="V47" s="1277"/>
      <c r="W47" s="1277"/>
      <c r="X47" s="255" t="str">
        <f>Y46&amp;"-"&amp;AA46</f>
        <v>-</v>
      </c>
      <c r="Y47" s="4765"/>
      <c r="Z47" s="4765"/>
      <c r="AA47" s="4765"/>
      <c r="AB47" s="4765"/>
      <c r="AC47" s="251"/>
      <c r="AD47" s="251"/>
      <c r="AE47" s="255" t="str">
        <f>AF46&amp;"-"&amp;AH46</f>
        <v>45292,42625-45473,4263888889</v>
      </c>
      <c r="AF47" s="4763"/>
      <c r="AG47" s="4608"/>
      <c r="AH47" s="4782"/>
      <c r="AI47" s="4608"/>
      <c r="AJ47" s="1355"/>
      <c r="AK47" s="4817"/>
      <c r="AM47" s="427"/>
      <c r="AN47" s="427" t="str">
        <f t="shared" si="1"/>
        <v/>
      </c>
      <c r="AO47" s="427"/>
      <c r="AP47" s="427"/>
    </row>
    <row r="48" spans="1:42" s="1966" customFormat="1" ht="23.25" customHeight="1">
      <c r="A48" s="1967"/>
      <c r="B48" s="1967"/>
      <c r="C48" s="1967"/>
      <c r="D48" s="1967"/>
      <c r="E48" s="4760"/>
      <c r="F48" s="4760"/>
      <c r="G48" s="4760"/>
      <c r="H48" s="4760"/>
      <c r="I48" s="4780"/>
      <c r="J48" s="4780"/>
      <c r="K48" s="4757" t="str">
        <f>J45&amp;".2"</f>
        <v>1.1.1.1.1.2</v>
      </c>
      <c r="L48" s="1968"/>
      <c r="M48" s="1969"/>
      <c r="N48" s="1969"/>
      <c r="O48" s="1969"/>
      <c r="P48" s="4758"/>
      <c r="Q48" s="4758"/>
      <c r="R48" s="1971" t="s">
        <v>102</v>
      </c>
      <c r="S48" s="1972" t="str">
        <f>$K48</f>
        <v>1.1.1.1.1.2</v>
      </c>
      <c r="T48" s="1973" t="s">
        <v>658</v>
      </c>
      <c r="U48" s="1974"/>
      <c r="V48" s="1975"/>
      <c r="W48" s="1975"/>
      <c r="X48" s="1976"/>
      <c r="Y48" s="4762"/>
      <c r="Z48" s="4608" t="s">
        <v>65</v>
      </c>
      <c r="AA48" s="4762"/>
      <c r="AB48" s="4608" t="s">
        <v>65</v>
      </c>
      <c r="AC48" s="1975">
        <v>7.32</v>
      </c>
      <c r="AD48" s="1975"/>
      <c r="AE48" s="1976"/>
      <c r="AF48" s="4762">
        <v>45474.426921296297</v>
      </c>
      <c r="AG48" s="4608" t="s">
        <v>65</v>
      </c>
      <c r="AH48" s="4781">
        <v>45657.42701388889</v>
      </c>
      <c r="AI48" s="4608" t="s">
        <v>65</v>
      </c>
      <c r="AJ48" s="1977"/>
      <c r="AK4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 s="1978" t="e">
        <f ca="1">STRCHECKDATE(V49:AJ49)</f>
        <v>#NAME?</v>
      </c>
      <c r="AM48" s="1979"/>
      <c r="AN48" s="1979" t="str">
        <f t="shared" si="1"/>
        <v>Население (с учетом НДС)</v>
      </c>
      <c r="AO48" s="1979"/>
      <c r="AP48" s="1979"/>
    </row>
    <row r="49" spans="1:42" s="1980" customFormat="1" ht="4.1500000000000004" customHeight="1">
      <c r="A49" s="1967"/>
      <c r="B49" s="1967"/>
      <c r="C49" s="1967"/>
      <c r="D49" s="1967"/>
      <c r="E49" s="4760"/>
      <c r="F49" s="4760"/>
      <c r="G49" s="4760"/>
      <c r="H49" s="4760"/>
      <c r="I49" s="4780"/>
      <c r="J49" s="4780"/>
      <c r="K49" s="4757" t="str">
        <f>J45&amp;".1"</f>
        <v>1.1.1.1.1.1</v>
      </c>
      <c r="L49" s="1968"/>
      <c r="M49" s="1969"/>
      <c r="N49" s="1969"/>
      <c r="O49" s="1969"/>
      <c r="P49" s="4758"/>
      <c r="Q49" s="4758"/>
      <c r="R49" s="1981"/>
      <c r="S49" s="1982"/>
      <c r="T49" s="1974"/>
      <c r="U49" s="1974"/>
      <c r="V49" s="1983"/>
      <c r="W49" s="1983"/>
      <c r="X49" s="1984" t="str">
        <f>Y48&amp;"-"&amp;AA48</f>
        <v>-</v>
      </c>
      <c r="Y49" s="4763"/>
      <c r="Z49" s="4608"/>
      <c r="AA49" s="4763"/>
      <c r="AB49" s="4608"/>
      <c r="AC49" s="1983"/>
      <c r="AD49" s="1983"/>
      <c r="AE49" s="1984" t="str">
        <f>AF48&amp;"-"&amp;AH48</f>
        <v>45474,4269212963-45657,4270138889</v>
      </c>
      <c r="AF49" s="4763"/>
      <c r="AG49" s="4608"/>
      <c r="AH49" s="4782"/>
      <c r="AI49" s="4608"/>
      <c r="AJ49" s="1985"/>
      <c r="AK49" s="4817"/>
      <c r="AL49" s="1978"/>
      <c r="AM49" s="1979"/>
      <c r="AN49" s="1979" t="str">
        <f t="shared" si="1"/>
        <v/>
      </c>
      <c r="AO49" s="1979"/>
      <c r="AP49" s="1979"/>
    </row>
    <row r="50" spans="1:42" ht="21" customHeight="1">
      <c r="A50" s="1280" t="s">
        <v>313</v>
      </c>
      <c r="B50" s="1280" t="s">
        <v>314</v>
      </c>
      <c r="C50" s="1280" t="s">
        <v>315</v>
      </c>
      <c r="D50" s="1280" t="s">
        <v>656</v>
      </c>
      <c r="E50" s="4760"/>
      <c r="F50" s="4760"/>
      <c r="G50" s="4760"/>
      <c r="H50" s="4760"/>
      <c r="I50" s="4780"/>
      <c r="J50" s="4757"/>
      <c r="K50" s="1280"/>
      <c r="L50" s="1281"/>
      <c r="P50" s="4758"/>
      <c r="Q50" s="4758"/>
      <c r="R50" s="282"/>
      <c r="S50" s="1199"/>
      <c r="T50" s="206" t="s">
        <v>624</v>
      </c>
      <c r="U50" s="296"/>
      <c r="V50" s="296"/>
      <c r="W50" s="296"/>
      <c r="X50" s="296"/>
      <c r="Y50" s="296"/>
      <c r="Z50" s="296"/>
      <c r="AA50" s="296"/>
      <c r="AB50" s="296"/>
      <c r="AC50" s="296"/>
      <c r="AD50" s="296"/>
      <c r="AE50" s="296"/>
      <c r="AF50" s="296"/>
      <c r="AG50" s="296"/>
      <c r="AH50" s="296"/>
      <c r="AI50" s="296"/>
      <c r="AJ50" s="296"/>
      <c r="AK50" s="1178" t="s">
        <v>625</v>
      </c>
      <c r="AM50" s="427"/>
      <c r="AN50" s="427" t="str">
        <f t="shared" si="1"/>
        <v>Добавить значение признака дифференциации</v>
      </c>
      <c r="AO50" s="427"/>
      <c r="AP50" s="427"/>
    </row>
    <row r="51" spans="1:42" s="1986" customFormat="1" ht="23.25" customHeight="1">
      <c r="A51" s="1967"/>
      <c r="B51" s="1967"/>
      <c r="C51" s="1967"/>
      <c r="D51" s="1967"/>
      <c r="E51" s="4760"/>
      <c r="F51" s="4760"/>
      <c r="G51" s="4760"/>
      <c r="H51" s="4760"/>
      <c r="I51" s="4780"/>
      <c r="J51" s="4757" t="str">
        <f>I44&amp;".2"</f>
        <v>1.1.1.1.2</v>
      </c>
      <c r="K51" s="1967"/>
      <c r="L51" s="1968" t="s">
        <v>547</v>
      </c>
      <c r="M51" s="1969"/>
      <c r="N51" s="1969"/>
      <c r="O51" s="1969"/>
      <c r="P51" s="4758"/>
      <c r="Q51" s="4833" t="s">
        <v>102</v>
      </c>
      <c r="R51" s="1981"/>
      <c r="S51" s="1972" t="str">
        <f>$J51</f>
        <v>1.1.1.1.2</v>
      </c>
      <c r="T51" s="1987" t="s">
        <v>548</v>
      </c>
      <c r="U51" s="1974"/>
      <c r="V51" s="4748"/>
      <c r="W51" s="4749"/>
      <c r="X51" s="4749"/>
      <c r="Y51" s="4749"/>
      <c r="Z51" s="4749"/>
      <c r="AA51" s="4749"/>
      <c r="AB51" s="4750"/>
      <c r="AC51" s="4748" t="s">
        <v>659</v>
      </c>
      <c r="AD51" s="4749"/>
      <c r="AE51" s="4749"/>
      <c r="AF51" s="4749"/>
      <c r="AG51" s="4749"/>
      <c r="AH51" s="4749"/>
      <c r="AI51" s="4749"/>
      <c r="AJ51" s="4750"/>
      <c r="AK51" s="1988" t="s">
        <v>623</v>
      </c>
      <c r="AL51" s="1978"/>
      <c r="AM51" s="1979"/>
      <c r="AN51" s="1979" t="str">
        <f t="shared" si="1"/>
        <v>Группа потребителей</v>
      </c>
      <c r="AO51" s="1979"/>
      <c r="AP51" s="1979"/>
    </row>
    <row r="52" spans="1:42" s="1989" customFormat="1" ht="23.25" customHeight="1">
      <c r="A52" s="1967"/>
      <c r="B52" s="1967"/>
      <c r="C52" s="1967"/>
      <c r="D52" s="1967"/>
      <c r="E52" s="4760"/>
      <c r="F52" s="4760"/>
      <c r="G52" s="4760"/>
      <c r="H52" s="4760"/>
      <c r="I52" s="4780"/>
      <c r="J52" s="4780" t="str">
        <f>I44&amp;".1"</f>
        <v>1.1.1.1.1</v>
      </c>
      <c r="K52" s="4757" t="str">
        <f>J51&amp;".1"</f>
        <v>1.1.1.1.2.1</v>
      </c>
      <c r="L52" s="1968"/>
      <c r="M52" s="1969"/>
      <c r="N52" s="1969"/>
      <c r="O52" s="1969"/>
      <c r="P52" s="4758"/>
      <c r="Q52" s="4758"/>
      <c r="R52" s="1981">
        <v>1</v>
      </c>
      <c r="S52" s="1972" t="str">
        <f>$K52</f>
        <v>1.1.1.1.2.1</v>
      </c>
      <c r="T52" s="1973" t="s">
        <v>660</v>
      </c>
      <c r="U52" s="1974"/>
      <c r="V52" s="1975"/>
      <c r="W52" s="1975"/>
      <c r="X52" s="1976"/>
      <c r="Y52" s="4762"/>
      <c r="Z52" s="4608" t="s">
        <v>65</v>
      </c>
      <c r="AA52" s="4762"/>
      <c r="AB52" s="4608" t="s">
        <v>65</v>
      </c>
      <c r="AC52" s="1975">
        <v>86.08</v>
      </c>
      <c r="AD52" s="1975"/>
      <c r="AE52" s="1976"/>
      <c r="AF52" s="4762">
        <v>45292.428981481484</v>
      </c>
      <c r="AG52" s="4608" t="s">
        <v>65</v>
      </c>
      <c r="AH52" s="4781">
        <v>45473.429027777776</v>
      </c>
      <c r="AI52" s="4608" t="s">
        <v>65</v>
      </c>
      <c r="AJ52" s="1977"/>
      <c r="AK5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 s="1978" t="e">
        <f ca="1">STRCHECKDATE(V53:AJ53)</f>
        <v>#NAME?</v>
      </c>
      <c r="AM52" s="1979"/>
      <c r="AN52" s="1979" t="str">
        <f t="shared" si="1"/>
        <v>Потребители, кроме населения (без учета НДС)</v>
      </c>
      <c r="AO52" s="1979"/>
      <c r="AP52" s="1979"/>
    </row>
    <row r="53" spans="1:42" s="1990" customFormat="1" ht="4.1500000000000004" customHeight="1">
      <c r="A53" s="1967"/>
      <c r="B53" s="1967"/>
      <c r="C53" s="1967"/>
      <c r="D53" s="1967"/>
      <c r="E53" s="4760"/>
      <c r="F53" s="4760"/>
      <c r="G53" s="4760"/>
      <c r="H53" s="4760"/>
      <c r="I53" s="4780"/>
      <c r="J53" s="4780" t="str">
        <f>I44&amp;".1"</f>
        <v>1.1.1.1.1</v>
      </c>
      <c r="K53" s="4757"/>
      <c r="L53" s="1968"/>
      <c r="M53" s="1969"/>
      <c r="N53" s="1969"/>
      <c r="O53" s="1969"/>
      <c r="P53" s="4758"/>
      <c r="Q53" s="4758"/>
      <c r="R53" s="1981"/>
      <c r="S53" s="1982"/>
      <c r="T53" s="1974"/>
      <c r="U53" s="1974"/>
      <c r="V53" s="1983"/>
      <c r="W53" s="1983"/>
      <c r="X53" s="1984" t="str">
        <f>Y52&amp;"-"&amp;AA52</f>
        <v>-</v>
      </c>
      <c r="Y53" s="4763"/>
      <c r="Z53" s="4608"/>
      <c r="AA53" s="4763"/>
      <c r="AB53" s="4608"/>
      <c r="AC53" s="1983"/>
      <c r="AD53" s="1983"/>
      <c r="AE53" s="1984" t="str">
        <f>AF52&amp;"-"&amp;AH52</f>
        <v>45292,4289814815-45473,4290277778</v>
      </c>
      <c r="AF53" s="4763"/>
      <c r="AG53" s="4608"/>
      <c r="AH53" s="4782"/>
      <c r="AI53" s="4608"/>
      <c r="AJ53" s="1985"/>
      <c r="AK53" s="4817"/>
      <c r="AL53" s="1978"/>
      <c r="AM53" s="1979"/>
      <c r="AN53" s="1979" t="str">
        <f t="shared" si="1"/>
        <v/>
      </c>
      <c r="AO53" s="1979"/>
      <c r="AP53" s="1979"/>
    </row>
    <row r="54" spans="1:42" s="1991" customFormat="1" ht="23.25" customHeight="1">
      <c r="A54" s="1967"/>
      <c r="B54" s="1967"/>
      <c r="C54" s="1967"/>
      <c r="D54" s="1967"/>
      <c r="E54" s="4760"/>
      <c r="F54" s="4760"/>
      <c r="G54" s="4760"/>
      <c r="H54" s="4760"/>
      <c r="I54" s="4780"/>
      <c r="J54" s="4780"/>
      <c r="K54" s="4757" t="str">
        <f>J51&amp;".2"</f>
        <v>1.1.1.1.2.2</v>
      </c>
      <c r="L54" s="1968"/>
      <c r="M54" s="1969"/>
      <c r="N54" s="1969"/>
      <c r="O54" s="1969"/>
      <c r="P54" s="4758"/>
      <c r="Q54" s="4758"/>
      <c r="R54" s="1971" t="s">
        <v>102</v>
      </c>
      <c r="S54" s="1972" t="str">
        <f>$K54</f>
        <v>1.1.1.1.2.2</v>
      </c>
      <c r="T54" s="1973" t="s">
        <v>660</v>
      </c>
      <c r="U54" s="1974"/>
      <c r="V54" s="1975"/>
      <c r="W54" s="1975"/>
      <c r="X54" s="1976"/>
      <c r="Y54" s="4762"/>
      <c r="Z54" s="4608" t="s">
        <v>65</v>
      </c>
      <c r="AA54" s="4762"/>
      <c r="AB54" s="4608" t="s">
        <v>65</v>
      </c>
      <c r="AC54" s="1975">
        <v>54.64</v>
      </c>
      <c r="AD54" s="1975"/>
      <c r="AE54" s="1976"/>
      <c r="AF54" s="4762">
        <v>45474.429120370369</v>
      </c>
      <c r="AG54" s="4608" t="s">
        <v>65</v>
      </c>
      <c r="AH54" s="4781">
        <v>45657.429305555554</v>
      </c>
      <c r="AI54" s="4608" t="s">
        <v>65</v>
      </c>
      <c r="AJ54" s="1977"/>
      <c r="AK5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 s="1978" t="e">
        <f ca="1">STRCHECKDATE(V55:AJ55)</f>
        <v>#NAME?</v>
      </c>
      <c r="AM54" s="1979"/>
      <c r="AN54" s="1979" t="str">
        <f t="shared" si="1"/>
        <v>Потребители, кроме населения (без учета НДС)</v>
      </c>
      <c r="AO54" s="1979"/>
      <c r="AP54" s="1979"/>
    </row>
    <row r="55" spans="1:42" s="1992" customFormat="1" ht="3.75" customHeight="1">
      <c r="A55" s="1967"/>
      <c r="B55" s="1967"/>
      <c r="C55" s="1967"/>
      <c r="D55" s="1967"/>
      <c r="E55" s="4760"/>
      <c r="F55" s="4760"/>
      <c r="G55" s="4760"/>
      <c r="H55" s="4760"/>
      <c r="I55" s="4780"/>
      <c r="J55" s="4780"/>
      <c r="K55" s="4757" t="str">
        <f>J51&amp;".1"</f>
        <v>1.1.1.1.2.1</v>
      </c>
      <c r="L55" s="1968"/>
      <c r="M55" s="1969"/>
      <c r="N55" s="1969"/>
      <c r="O55" s="1969"/>
      <c r="P55" s="4758"/>
      <c r="Q55" s="4758"/>
      <c r="R55" s="1981"/>
      <c r="S55" s="1982"/>
      <c r="T55" s="1974"/>
      <c r="U55" s="1974"/>
      <c r="V55" s="1983"/>
      <c r="W55" s="1983"/>
      <c r="X55" s="1984" t="str">
        <f>Y54&amp;"-"&amp;AA54</f>
        <v>-</v>
      </c>
      <c r="Y55" s="4763"/>
      <c r="Z55" s="4608"/>
      <c r="AA55" s="4763"/>
      <c r="AB55" s="4608"/>
      <c r="AC55" s="1983"/>
      <c r="AD55" s="1983"/>
      <c r="AE55" s="1984" t="str">
        <f>AF54&amp;"-"&amp;AH54</f>
        <v>45474,4291203704-45657,4293055556</v>
      </c>
      <c r="AF55" s="4763"/>
      <c r="AG55" s="4608"/>
      <c r="AH55" s="4782"/>
      <c r="AI55" s="4608"/>
      <c r="AJ55" s="1985"/>
      <c r="AK55" s="4817"/>
      <c r="AL55" s="1978"/>
      <c r="AM55" s="1979"/>
      <c r="AN55" s="1979" t="str">
        <f t="shared" si="1"/>
        <v/>
      </c>
      <c r="AO55" s="1979"/>
      <c r="AP55" s="1979"/>
    </row>
    <row r="56" spans="1:42" s="1993" customFormat="1" ht="21" customHeight="1">
      <c r="A56" s="1967"/>
      <c r="B56" s="1967"/>
      <c r="C56" s="1967"/>
      <c r="D56" s="1967"/>
      <c r="E56" s="4760"/>
      <c r="F56" s="4760"/>
      <c r="G56" s="4760"/>
      <c r="H56" s="4760"/>
      <c r="I56" s="4780"/>
      <c r="J56" s="4757" t="str">
        <f>I44&amp;".1"</f>
        <v>1.1.1.1.1</v>
      </c>
      <c r="K56" s="1967"/>
      <c r="L56" s="1968"/>
      <c r="M56" s="1969"/>
      <c r="N56" s="1969"/>
      <c r="O56" s="1969"/>
      <c r="P56" s="4758"/>
      <c r="Q56" s="4758"/>
      <c r="R56" s="1994"/>
      <c r="S56" s="1995"/>
      <c r="T56" s="1996" t="s">
        <v>624</v>
      </c>
      <c r="U56" s="1997"/>
      <c r="V56" s="1998"/>
      <c r="W56" s="1999"/>
      <c r="X56" s="2000"/>
      <c r="Y56" s="2001"/>
      <c r="Z56" s="2002"/>
      <c r="AA56" s="2003"/>
      <c r="AB56" s="2004"/>
      <c r="AC56" s="2005"/>
      <c r="AD56" s="2006"/>
      <c r="AE56" s="2007"/>
      <c r="AF56" s="2008"/>
      <c r="AG56" s="2009"/>
      <c r="AH56" s="2010"/>
      <c r="AI56" s="2011"/>
      <c r="AJ56" s="2012"/>
      <c r="AK56" s="2013" t="s">
        <v>625</v>
      </c>
      <c r="AL56" s="1978"/>
      <c r="AM56" s="1979"/>
      <c r="AN56" s="1979" t="str">
        <f t="shared" si="1"/>
        <v>Добавить значение признака дифференциации</v>
      </c>
      <c r="AO56" s="1979"/>
      <c r="AP56" s="1979"/>
    </row>
    <row r="57" spans="1:42" s="2014" customFormat="1" ht="23.25" customHeight="1">
      <c r="A57" s="1967"/>
      <c r="B57" s="1967"/>
      <c r="C57" s="1967"/>
      <c r="D57" s="1967"/>
      <c r="E57" s="4760"/>
      <c r="F57" s="4760"/>
      <c r="G57" s="4760"/>
      <c r="H57" s="4760"/>
      <c r="I57" s="4780"/>
      <c r="J57" s="4757" t="str">
        <f>I44&amp;".3"</f>
        <v>1.1.1.1.3</v>
      </c>
      <c r="K57" s="1967"/>
      <c r="L57" s="1968" t="s">
        <v>547</v>
      </c>
      <c r="M57" s="1969"/>
      <c r="N57" s="1969"/>
      <c r="O57" s="1969"/>
      <c r="P57" s="4758"/>
      <c r="Q57" s="4833" t="s">
        <v>102</v>
      </c>
      <c r="R57" s="1981"/>
      <c r="S57" s="1972" t="str">
        <f>$J57</f>
        <v>1.1.1.1.3</v>
      </c>
      <c r="T57" s="1987" t="s">
        <v>548</v>
      </c>
      <c r="U57" s="1974"/>
      <c r="V57" s="4748"/>
      <c r="W57" s="4749"/>
      <c r="X57" s="4749"/>
      <c r="Y57" s="4749"/>
      <c r="Z57" s="4749"/>
      <c r="AA57" s="4749"/>
      <c r="AB57" s="4750"/>
      <c r="AC57" s="4748" t="s">
        <v>661</v>
      </c>
      <c r="AD57" s="4749"/>
      <c r="AE57" s="4749"/>
      <c r="AF57" s="4749"/>
      <c r="AG57" s="4749"/>
      <c r="AH57" s="4749"/>
      <c r="AI57" s="4749"/>
      <c r="AJ57" s="4750"/>
      <c r="AK57" s="1988" t="s">
        <v>623</v>
      </c>
      <c r="AL57" s="1978"/>
      <c r="AM57" s="1979"/>
      <c r="AN57" s="1979" t="str">
        <f t="shared" si="1"/>
        <v>Группа потребителей</v>
      </c>
      <c r="AO57" s="1979"/>
      <c r="AP57" s="1979"/>
    </row>
    <row r="58" spans="1:42" s="2015" customFormat="1" ht="23.25" customHeight="1">
      <c r="A58" s="1967"/>
      <c r="B58" s="1967"/>
      <c r="C58" s="1967"/>
      <c r="D58" s="1967"/>
      <c r="E58" s="4760"/>
      <c r="F58" s="4760"/>
      <c r="G58" s="4760"/>
      <c r="H58" s="4760"/>
      <c r="I58" s="4780"/>
      <c r="J58" s="4780" t="str">
        <f>I44&amp;".2"</f>
        <v>1.1.1.1.2</v>
      </c>
      <c r="K58" s="4757" t="str">
        <f>J57&amp;".1"</f>
        <v>1.1.1.1.3.1</v>
      </c>
      <c r="L58" s="1968"/>
      <c r="M58" s="1969"/>
      <c r="N58" s="1969"/>
      <c r="O58" s="1969"/>
      <c r="P58" s="4758"/>
      <c r="Q58" s="4758"/>
      <c r="R58" s="1981">
        <v>1</v>
      </c>
      <c r="S58" s="1972" t="str">
        <f>$K58</f>
        <v>1.1.1.1.3.1</v>
      </c>
      <c r="T58" s="1973" t="s">
        <v>660</v>
      </c>
      <c r="U58" s="1974"/>
      <c r="V58" s="1975"/>
      <c r="W58" s="1975"/>
      <c r="X58" s="1976"/>
      <c r="Y58" s="4762"/>
      <c r="Z58" s="4608" t="s">
        <v>65</v>
      </c>
      <c r="AA58" s="4762"/>
      <c r="AB58" s="4608" t="s">
        <v>65</v>
      </c>
      <c r="AC58" s="1975">
        <v>86.08</v>
      </c>
      <c r="AD58" s="1975"/>
      <c r="AE58" s="1976"/>
      <c r="AF58" s="4762">
        <v>45292.430289351854</v>
      </c>
      <c r="AG58" s="4608" t="s">
        <v>65</v>
      </c>
      <c r="AH58" s="4781">
        <v>45473.430335648147</v>
      </c>
      <c r="AI58" s="4608" t="s">
        <v>65</v>
      </c>
      <c r="AJ58" s="1977"/>
      <c r="AK5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8" s="1978" t="e">
        <f ca="1">STRCHECKDATE(V59:AJ59)</f>
        <v>#NAME?</v>
      </c>
      <c r="AM58" s="1979"/>
      <c r="AN58" s="1979" t="str">
        <f t="shared" si="1"/>
        <v>Потребители, кроме населения (без учета НДС)</v>
      </c>
      <c r="AO58" s="1979"/>
      <c r="AP58" s="1979"/>
    </row>
    <row r="59" spans="1:42" s="2016" customFormat="1" ht="3.75" customHeight="1">
      <c r="A59" s="1967"/>
      <c r="B59" s="1967"/>
      <c r="C59" s="1967"/>
      <c r="D59" s="1967"/>
      <c r="E59" s="4760"/>
      <c r="F59" s="4760"/>
      <c r="G59" s="4760"/>
      <c r="H59" s="4760"/>
      <c r="I59" s="4780"/>
      <c r="J59" s="4780" t="str">
        <f>I44&amp;".2"</f>
        <v>1.1.1.1.2</v>
      </c>
      <c r="K59" s="4757"/>
      <c r="L59" s="1968"/>
      <c r="M59" s="1969"/>
      <c r="N59" s="1969"/>
      <c r="O59" s="1969"/>
      <c r="P59" s="4758"/>
      <c r="Q59" s="4758"/>
      <c r="R59" s="1981"/>
      <c r="S59" s="1982"/>
      <c r="T59" s="1974"/>
      <c r="U59" s="1974"/>
      <c r="V59" s="1983"/>
      <c r="W59" s="1983"/>
      <c r="X59" s="1984" t="str">
        <f>Y58&amp;"-"&amp;AA58</f>
        <v>-</v>
      </c>
      <c r="Y59" s="4763"/>
      <c r="Z59" s="4608"/>
      <c r="AA59" s="4763"/>
      <c r="AB59" s="4608"/>
      <c r="AC59" s="1983"/>
      <c r="AD59" s="1983"/>
      <c r="AE59" s="1984" t="str">
        <f>AF58&amp;"-"&amp;AH58</f>
        <v>45292,4302893519-45473,4303356481</v>
      </c>
      <c r="AF59" s="4763"/>
      <c r="AG59" s="4608"/>
      <c r="AH59" s="4782"/>
      <c r="AI59" s="4608"/>
      <c r="AJ59" s="1985"/>
      <c r="AK59" s="4817"/>
      <c r="AL59" s="1978"/>
      <c r="AM59" s="1979"/>
      <c r="AN59" s="1979" t="str">
        <f t="shared" si="1"/>
        <v/>
      </c>
      <c r="AO59" s="1979"/>
      <c r="AP59" s="1979"/>
    </row>
    <row r="60" spans="1:42" s="2017" customFormat="1" ht="23.25" customHeight="1">
      <c r="A60" s="1967"/>
      <c r="B60" s="1967"/>
      <c r="C60" s="1967"/>
      <c r="D60" s="1967"/>
      <c r="E60" s="4760"/>
      <c r="F60" s="4760"/>
      <c r="G60" s="4760"/>
      <c r="H60" s="4760"/>
      <c r="I60" s="4780"/>
      <c r="J60" s="4780"/>
      <c r="K60" s="4757" t="str">
        <f>J57&amp;".2"</f>
        <v>1.1.1.1.3.2</v>
      </c>
      <c r="L60" s="1968"/>
      <c r="M60" s="1969"/>
      <c r="N60" s="1969"/>
      <c r="O60" s="1969"/>
      <c r="P60" s="4758"/>
      <c r="Q60" s="4758"/>
      <c r="R60" s="1971" t="s">
        <v>102</v>
      </c>
      <c r="S60" s="1972" t="str">
        <f>$K60</f>
        <v>1.1.1.1.3.2</v>
      </c>
      <c r="T60" s="1973" t="s">
        <v>660</v>
      </c>
      <c r="U60" s="1974"/>
      <c r="V60" s="1975"/>
      <c r="W60" s="1975"/>
      <c r="X60" s="1976"/>
      <c r="Y60" s="4762"/>
      <c r="Z60" s="4608" t="s">
        <v>65</v>
      </c>
      <c r="AA60" s="4762"/>
      <c r="AB60" s="4608" t="s">
        <v>65</v>
      </c>
      <c r="AC60" s="1975">
        <v>54.64</v>
      </c>
      <c r="AD60" s="1975"/>
      <c r="AE60" s="1976"/>
      <c r="AF60" s="4762">
        <v>45474.430393518516</v>
      </c>
      <c r="AG60" s="4608" t="s">
        <v>65</v>
      </c>
      <c r="AH60" s="4781">
        <v>45657.430462962962</v>
      </c>
      <c r="AI60" s="4608" t="s">
        <v>65</v>
      </c>
      <c r="AJ60" s="1977"/>
      <c r="AK6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 s="1978" t="e">
        <f ca="1">STRCHECKDATE(V61:AJ61)</f>
        <v>#NAME?</v>
      </c>
      <c r="AM60" s="1979"/>
      <c r="AN60" s="1979" t="str">
        <f t="shared" si="1"/>
        <v>Потребители, кроме населения (без учета НДС)</v>
      </c>
      <c r="AO60" s="1979"/>
      <c r="AP60" s="1979"/>
    </row>
    <row r="61" spans="1:42" s="2018" customFormat="1" ht="3.75" customHeight="1">
      <c r="A61" s="1967"/>
      <c r="B61" s="1967"/>
      <c r="C61" s="1967"/>
      <c r="D61" s="1967"/>
      <c r="E61" s="4760"/>
      <c r="F61" s="4760"/>
      <c r="G61" s="4760"/>
      <c r="H61" s="4760"/>
      <c r="I61" s="4780"/>
      <c r="J61" s="4780"/>
      <c r="K61" s="4757" t="str">
        <f>J57&amp;".1"</f>
        <v>1.1.1.1.3.1</v>
      </c>
      <c r="L61" s="1968"/>
      <c r="M61" s="1969"/>
      <c r="N61" s="1969"/>
      <c r="O61" s="1969"/>
      <c r="P61" s="4758"/>
      <c r="Q61" s="4758"/>
      <c r="R61" s="1981"/>
      <c r="S61" s="1982"/>
      <c r="T61" s="1974"/>
      <c r="U61" s="1974"/>
      <c r="V61" s="1983"/>
      <c r="W61" s="1983"/>
      <c r="X61" s="1984" t="str">
        <f>Y60&amp;"-"&amp;AA60</f>
        <v>-</v>
      </c>
      <c r="Y61" s="4763"/>
      <c r="Z61" s="4608"/>
      <c r="AA61" s="4763"/>
      <c r="AB61" s="4608"/>
      <c r="AC61" s="1983"/>
      <c r="AD61" s="1983"/>
      <c r="AE61" s="1984" t="str">
        <f>AF60&amp;"-"&amp;AH60</f>
        <v>45474,4303935185-45657,430462963</v>
      </c>
      <c r="AF61" s="4763"/>
      <c r="AG61" s="4608"/>
      <c r="AH61" s="4782"/>
      <c r="AI61" s="4608"/>
      <c r="AJ61" s="1985"/>
      <c r="AK61" s="4817"/>
      <c r="AL61" s="1978"/>
      <c r="AM61" s="1979"/>
      <c r="AN61" s="1979" t="str">
        <f t="shared" si="1"/>
        <v/>
      </c>
      <c r="AO61" s="1979"/>
      <c r="AP61" s="1979"/>
    </row>
    <row r="62" spans="1:42" s="2019" customFormat="1" ht="21" customHeight="1">
      <c r="A62" s="1967"/>
      <c r="B62" s="1967"/>
      <c r="C62" s="1967"/>
      <c r="D62" s="1967"/>
      <c r="E62" s="4760"/>
      <c r="F62" s="4760"/>
      <c r="G62" s="4760"/>
      <c r="H62" s="4760"/>
      <c r="I62" s="4780"/>
      <c r="J62" s="4757" t="str">
        <f>I44&amp;".2"</f>
        <v>1.1.1.1.2</v>
      </c>
      <c r="K62" s="1967"/>
      <c r="L62" s="1968"/>
      <c r="M62" s="1969"/>
      <c r="N62" s="1969"/>
      <c r="O62" s="1969"/>
      <c r="P62" s="4758"/>
      <c r="Q62" s="4758"/>
      <c r="R62" s="1994"/>
      <c r="S62" s="2020"/>
      <c r="T62" s="2021" t="s">
        <v>624</v>
      </c>
      <c r="U62" s="2022"/>
      <c r="V62" s="2023"/>
      <c r="W62" s="2024"/>
      <c r="X62" s="2025"/>
      <c r="Y62" s="2026"/>
      <c r="Z62" s="2027"/>
      <c r="AA62" s="2028"/>
      <c r="AB62" s="2029"/>
      <c r="AC62" s="2030"/>
      <c r="AD62" s="2031"/>
      <c r="AE62" s="2032"/>
      <c r="AF62" s="2033"/>
      <c r="AG62" s="2034"/>
      <c r="AH62" s="2035"/>
      <c r="AI62" s="2036"/>
      <c r="AJ62" s="2037"/>
      <c r="AK62" s="2013" t="s">
        <v>625</v>
      </c>
      <c r="AL62" s="1978"/>
      <c r="AM62" s="1979"/>
      <c r="AN62" s="1979" t="str">
        <f t="shared" si="1"/>
        <v>Добавить значение признака дифференциации</v>
      </c>
      <c r="AO62" s="1979"/>
      <c r="AP62" s="1979"/>
    </row>
    <row r="63" spans="1:42" ht="21" customHeight="1">
      <c r="A63" s="1280" t="s">
        <v>313</v>
      </c>
      <c r="B63" s="1280" t="s">
        <v>314</v>
      </c>
      <c r="C63" s="1280" t="s">
        <v>315</v>
      </c>
      <c r="D63" s="1280" t="s">
        <v>656</v>
      </c>
      <c r="E63" s="4760"/>
      <c r="F63" s="4760"/>
      <c r="G63" s="4760"/>
      <c r="H63" s="4760"/>
      <c r="I63" s="4757"/>
      <c r="J63" s="1280"/>
      <c r="K63" s="1280"/>
      <c r="L63" s="1281"/>
      <c r="P63" s="4758"/>
      <c r="Q63" s="1392"/>
      <c r="R63" s="282"/>
      <c r="S63" s="1199"/>
      <c r="T63" s="293" t="s">
        <v>553</v>
      </c>
      <c r="U63" s="296"/>
      <c r="V63" s="296"/>
      <c r="W63" s="296"/>
      <c r="X63" s="296"/>
      <c r="Y63" s="296"/>
      <c r="Z63" s="296"/>
      <c r="AA63" s="296"/>
      <c r="AB63" s="295"/>
      <c r="AC63" s="296"/>
      <c r="AD63" s="296"/>
      <c r="AE63" s="296"/>
      <c r="AF63" s="296"/>
      <c r="AG63" s="296"/>
      <c r="AH63" s="296"/>
      <c r="AI63" s="295"/>
      <c r="AJ63" s="296"/>
      <c r="AK63" s="1356"/>
      <c r="AM63" s="427"/>
      <c r="AN63" s="427" t="str">
        <f t="shared" si="1"/>
        <v>Добавить группу потребителей</v>
      </c>
      <c r="AO63" s="427"/>
      <c r="AP63" s="427"/>
    </row>
    <row r="64" spans="1:42" ht="21" customHeight="1">
      <c r="A64" s="1280" t="s">
        <v>313</v>
      </c>
      <c r="B64" s="1280" t="s">
        <v>314</v>
      </c>
      <c r="C64" s="1280" t="s">
        <v>315</v>
      </c>
      <c r="D64" s="1280" t="s">
        <v>656</v>
      </c>
      <c r="E64" s="4760"/>
      <c r="F64" s="4760"/>
      <c r="G64" s="4760"/>
      <c r="H64" s="4759"/>
      <c r="I64" s="1280"/>
      <c r="J64" s="1280"/>
      <c r="K64" s="1280"/>
      <c r="L64" s="1281"/>
      <c r="M64" s="1282"/>
      <c r="N64" s="1282"/>
      <c r="O64" s="463"/>
      <c r="P64" s="286"/>
      <c r="Q64" s="305"/>
      <c r="R64" s="281"/>
      <c r="S64" s="1199"/>
      <c r="T64" s="301" t="s">
        <v>626</v>
      </c>
      <c r="U64" s="296"/>
      <c r="V64" s="296"/>
      <c r="W64" s="296"/>
      <c r="X64" s="296"/>
      <c r="Y64" s="296"/>
      <c r="Z64" s="296"/>
      <c r="AA64" s="296"/>
      <c r="AB64" s="295"/>
      <c r="AC64" s="296"/>
      <c r="AD64" s="296"/>
      <c r="AE64" s="296"/>
      <c r="AF64" s="296"/>
      <c r="AG64" s="296"/>
      <c r="AH64" s="296"/>
      <c r="AI64" s="295"/>
      <c r="AJ64" s="296"/>
      <c r="AK64" s="222"/>
      <c r="AM64" s="427"/>
      <c r="AN64" s="427" t="str">
        <f t="shared" si="1"/>
        <v>Добавить наименование признака дифференциации</v>
      </c>
      <c r="AO64" s="427"/>
      <c r="AP64" s="427"/>
    </row>
    <row r="65" spans="1:42" s="1946" customFormat="1" ht="0" hidden="1" customHeight="1">
      <c r="A65" s="1261" t="s">
        <v>313</v>
      </c>
      <c r="B65" s="1261" t="s">
        <v>314</v>
      </c>
      <c r="C65" s="1233"/>
      <c r="D65" s="1233"/>
      <c r="E65" s="4760"/>
      <c r="F65" s="4759"/>
      <c r="G65" s="1233"/>
      <c r="H65" s="1233"/>
      <c r="I65" s="1233"/>
      <c r="J65" s="1233"/>
      <c r="K65" s="1233"/>
      <c r="L65" s="1405"/>
      <c r="M65" s="1240"/>
      <c r="N65" s="1240"/>
      <c r="P65" s="1235"/>
      <c r="Q65" s="1236"/>
      <c r="R65" s="1235"/>
      <c r="S65" s="1241"/>
      <c r="T65" s="1244" t="s">
        <v>316</v>
      </c>
      <c r="U65" s="1243"/>
      <c r="V65" s="1243"/>
      <c r="W65" s="1243"/>
      <c r="X65" s="1243"/>
      <c r="Y65" s="1243"/>
      <c r="Z65" s="1243"/>
      <c r="AA65" s="1243"/>
      <c r="AB65" s="1243"/>
      <c r="AC65" s="1243"/>
      <c r="AD65" s="1243"/>
      <c r="AE65" s="1243"/>
      <c r="AF65" s="1243"/>
      <c r="AG65" s="1243"/>
      <c r="AH65" s="1243"/>
      <c r="AI65" s="1243"/>
      <c r="AJ65" s="1243"/>
      <c r="AK65" s="1243"/>
      <c r="AM65" s="707"/>
      <c r="AN65" s="707" t="str">
        <f t="shared" si="1"/>
        <v>Добавить централизованную систему для дифференциации</v>
      </c>
      <c r="AO65" s="707"/>
      <c r="AP65" s="707"/>
    </row>
    <row r="66" spans="1:42" s="1821" customFormat="1" ht="0" hidden="1" customHeight="1">
      <c r="A66" s="1261" t="s">
        <v>313</v>
      </c>
      <c r="B66" s="1261"/>
      <c r="C66" s="1261"/>
      <c r="D66" s="1261"/>
      <c r="E66" s="4759"/>
      <c r="F66" s="1261"/>
      <c r="G66" s="1261"/>
      <c r="H66" s="1261"/>
      <c r="I66" s="1261"/>
      <c r="J66" s="1261"/>
      <c r="K66" s="1261"/>
      <c r="L66" s="1264"/>
      <c r="M66" s="1240"/>
      <c r="N66" s="1240"/>
      <c r="O66" s="445"/>
      <c r="P66" s="314"/>
      <c r="Q66" s="1262"/>
      <c r="R66" s="314"/>
      <c r="S66" s="1241"/>
      <c r="T66" s="1244" t="s">
        <v>317</v>
      </c>
      <c r="U66" s="1243"/>
      <c r="V66" s="1243"/>
      <c r="W66" s="1243"/>
      <c r="X66" s="1243"/>
      <c r="Y66" s="1243"/>
      <c r="Z66" s="1243"/>
      <c r="AA66" s="1243"/>
      <c r="AB66" s="1243"/>
      <c r="AC66" s="1243"/>
      <c r="AD66" s="1243"/>
      <c r="AE66" s="1243"/>
      <c r="AF66" s="1243"/>
      <c r="AG66" s="1243"/>
      <c r="AH66" s="1243"/>
      <c r="AI66" s="1243"/>
      <c r="AJ66" s="1243"/>
      <c r="AK66" s="1243"/>
      <c r="AM66" s="427"/>
      <c r="AN66" s="427" t="str">
        <f t="shared" si="1"/>
        <v>Добавить территорию для дифференциации</v>
      </c>
      <c r="AO66" s="427"/>
      <c r="AP66" s="427"/>
    </row>
    <row r="67" spans="1:42" s="2038" customFormat="1" ht="23.25" customHeight="1">
      <c r="A67" s="1967" t="s">
        <v>319</v>
      </c>
      <c r="B67" s="1967"/>
      <c r="C67" s="1967"/>
      <c r="D67" s="1967"/>
      <c r="E67" s="4759" t="s">
        <v>101</v>
      </c>
      <c r="F67" s="1967"/>
      <c r="G67" s="1967"/>
      <c r="H67" s="1967"/>
      <c r="I67" s="1967"/>
      <c r="J67" s="1967"/>
      <c r="K67" s="1967"/>
      <c r="L67" s="1968"/>
      <c r="M67" s="2039"/>
      <c r="N67" s="2039"/>
      <c r="O67" s="2039"/>
      <c r="P67" s="2040"/>
      <c r="Q67" s="2041"/>
      <c r="R67" s="2042"/>
      <c r="S67" s="1972" t="str">
        <f>INDEX(PT_DIFFERENTIATION_NUM_NTAR,MATCH(A67,PT_DIFFERENTIATION_NTAR_ID,0))</f>
        <v>2</v>
      </c>
      <c r="T67" s="2043" t="s">
        <v>185</v>
      </c>
      <c r="U67" s="1974"/>
      <c r="V67" s="4745"/>
      <c r="W67" s="4746"/>
      <c r="X67" s="4746"/>
      <c r="Y67" s="4746"/>
      <c r="Z67" s="4746"/>
      <c r="AA67" s="4746"/>
      <c r="AB67" s="4747"/>
      <c r="AC67" s="4745" t="str">
        <f>INDEX(PT_DIFFERENTIATION_NTAR,MATCH(A67,PT_DIFFERENTIATION_NTAR_ID,0))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AD67" s="4746"/>
      <c r="AE67" s="4746"/>
      <c r="AF67" s="4746"/>
      <c r="AG67" s="4746"/>
      <c r="AH67" s="4746"/>
      <c r="AI67" s="4746"/>
      <c r="AJ67" s="4747"/>
      <c r="AK67"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67" s="1978"/>
      <c r="AM67" s="1979"/>
      <c r="AN67" s="1979" t="str">
        <f t="shared" si="1"/>
        <v>Наименование тарифа</v>
      </c>
      <c r="AO67" s="1979"/>
      <c r="AP67" s="1979"/>
    </row>
    <row r="68" spans="1:42" s="2044" customFormat="1" ht="23.25" customHeight="1">
      <c r="A68" s="1967"/>
      <c r="B68" s="1967" t="s">
        <v>320</v>
      </c>
      <c r="C68" s="1967"/>
      <c r="D68" s="1967"/>
      <c r="E68" s="4760">
        <v>1</v>
      </c>
      <c r="F68" s="4759">
        <v>1</v>
      </c>
      <c r="G68" s="1967"/>
      <c r="H68" s="1967"/>
      <c r="I68" s="1967"/>
      <c r="J68" s="1967"/>
      <c r="K68" s="1967"/>
      <c r="L68" s="1968"/>
      <c r="M68" s="2039"/>
      <c r="N68" s="2039"/>
      <c r="O68" s="2039"/>
      <c r="P68" s="2045"/>
      <c r="Q68" s="2046"/>
      <c r="R68" s="2047"/>
      <c r="S68" s="1972" t="str">
        <f>INDEX(PT_DIFFERENTIATION_NUM_TER,MATCH(B68,PT_DIFFERENTIATION_TER_ID,0))</f>
        <v>2.1</v>
      </c>
      <c r="T68" s="2048" t="s">
        <v>538</v>
      </c>
      <c r="U68" s="1974"/>
      <c r="V68" s="4745"/>
      <c r="W68" s="4746"/>
      <c r="X68" s="4746"/>
      <c r="Y68" s="4746"/>
      <c r="Z68" s="4746"/>
      <c r="AA68" s="4746"/>
      <c r="AB68" s="4747"/>
      <c r="AC68" s="4745" t="str">
        <f>INDEX(PT_DIFFERENTIATION_TER,MATCH(B68,PT_DIFFERENTIATION_TER_ID,0))</f>
        <v>Территория 1</v>
      </c>
      <c r="AD68" s="4746"/>
      <c r="AE68" s="4746"/>
      <c r="AF68" s="4746"/>
      <c r="AG68" s="4746"/>
      <c r="AH68" s="4746"/>
      <c r="AI68" s="4746"/>
      <c r="AJ68" s="4747"/>
      <c r="AK68" s="2013" t="s">
        <v>539</v>
      </c>
      <c r="AL68" s="1978"/>
      <c r="AM68" s="1979"/>
      <c r="AN68" s="1979" t="str">
        <f t="shared" si="1"/>
        <v>Территория действия тарифа</v>
      </c>
      <c r="AO68" s="1979"/>
      <c r="AP68" s="1979"/>
    </row>
    <row r="69" spans="1:42" s="2049" customFormat="1" ht="23.25" customHeight="1">
      <c r="A69" s="1967"/>
      <c r="B69" s="1967"/>
      <c r="C69" s="1967" t="s">
        <v>321</v>
      </c>
      <c r="D69" s="1967"/>
      <c r="E69" s="4760">
        <v>1</v>
      </c>
      <c r="F69" s="4760"/>
      <c r="G69" s="4759">
        <v>1</v>
      </c>
      <c r="H69" s="1967"/>
      <c r="I69" s="1967"/>
      <c r="J69" s="1967"/>
      <c r="K69" s="1967"/>
      <c r="L69" s="1968"/>
      <c r="M69" s="2039"/>
      <c r="N69" s="2039"/>
      <c r="O69" s="2039"/>
      <c r="P69" s="2050"/>
      <c r="Q69" s="2046"/>
      <c r="R69" s="2047"/>
      <c r="S69" s="1972" t="str">
        <f>INDEX(PT_DIFFERENTIATION_NUM_CS,MATCH(C69,PT_DIFFERENTIATION_CS_ID,0))</f>
        <v>2.1.1</v>
      </c>
      <c r="T69" s="2051" t="s">
        <v>652</v>
      </c>
      <c r="U69" s="1974"/>
      <c r="V69" s="4745"/>
      <c r="W69" s="4746"/>
      <c r="X69" s="4746"/>
      <c r="Y69" s="4746"/>
      <c r="Z69" s="4746"/>
      <c r="AA69" s="4746"/>
      <c r="AB69" s="4747"/>
      <c r="AC69" s="4745" t="str">
        <f>INDEX(PT_DIFFERENTIATION_CS,MATCH(C69,PT_DIFFERENTIATION_CS_ID,0))</f>
        <v>без дифференциации</v>
      </c>
      <c r="AD69" s="4746"/>
      <c r="AE69" s="4746"/>
      <c r="AF69" s="4746"/>
      <c r="AG69" s="4746"/>
      <c r="AH69" s="4746"/>
      <c r="AI69" s="4746"/>
      <c r="AJ69" s="4747"/>
      <c r="AK69" s="2013" t="s">
        <v>653</v>
      </c>
      <c r="AL69" s="1978"/>
      <c r="AM69" s="1979"/>
      <c r="AN69" s="1979" t="str">
        <f t="shared" si="1"/>
        <v>Наименование централизованной системы водоотведения</v>
      </c>
      <c r="AO69" s="1979"/>
      <c r="AP69" s="1979"/>
    </row>
    <row r="70" spans="1:42" s="2052" customFormat="1" ht="23.25" customHeight="1">
      <c r="A70" s="1967"/>
      <c r="B70" s="1967"/>
      <c r="C70" s="1967"/>
      <c r="D70" s="1967"/>
      <c r="E70" s="4760">
        <v>1</v>
      </c>
      <c r="F70" s="4760"/>
      <c r="G70" s="4760"/>
      <c r="H70" s="4760"/>
      <c r="I70" s="4757" t="str">
        <f>S69&amp;".1"</f>
        <v>2.1.1.1</v>
      </c>
      <c r="J70" s="1967"/>
      <c r="K70" s="1967"/>
      <c r="L70" s="1968"/>
      <c r="M70" s="1969"/>
      <c r="N70" s="1969"/>
      <c r="O70" s="1969"/>
      <c r="P70" s="4758">
        <v>1</v>
      </c>
      <c r="Q70" s="1970"/>
      <c r="R70" s="1994"/>
      <c r="S70" s="1972" t="str">
        <f>$I70</f>
        <v>2.1.1.1</v>
      </c>
      <c r="T70" s="2053" t="s">
        <v>621</v>
      </c>
      <c r="U70" s="1974"/>
      <c r="V70" s="4818"/>
      <c r="W70" s="4819"/>
      <c r="X70" s="4819"/>
      <c r="Y70" s="4819"/>
      <c r="Z70" s="4819"/>
      <c r="AA70" s="4819"/>
      <c r="AB70" s="4820"/>
      <c r="AC70" s="4821"/>
      <c r="AD70" s="4822"/>
      <c r="AE70" s="4822"/>
      <c r="AF70" s="4822"/>
      <c r="AG70" s="4822"/>
      <c r="AH70" s="4822"/>
      <c r="AI70" s="4822"/>
      <c r="AJ70" s="4823"/>
      <c r="AK70" s="2013" t="s">
        <v>622</v>
      </c>
      <c r="AL70" s="1978"/>
      <c r="AM70" s="1979"/>
      <c r="AN70" s="1979" t="str">
        <f t="shared" si="1"/>
        <v>Наименование признака дифференциации</v>
      </c>
      <c r="AO70" s="1979"/>
      <c r="AP70" s="1979"/>
    </row>
    <row r="71" spans="1:42" s="2054" customFormat="1" ht="23.25" customHeight="1">
      <c r="A71" s="1967"/>
      <c r="B71" s="1967"/>
      <c r="C71" s="1967"/>
      <c r="D71" s="1967"/>
      <c r="E71" s="4760">
        <v>1</v>
      </c>
      <c r="F71" s="4760"/>
      <c r="G71" s="4760"/>
      <c r="H71" s="4760"/>
      <c r="I71" s="4780"/>
      <c r="J71" s="4757" t="str">
        <f>I70&amp;".1"</f>
        <v>2.1.1.1.1</v>
      </c>
      <c r="K71" s="1967"/>
      <c r="L71" s="1968" t="s">
        <v>547</v>
      </c>
      <c r="M71" s="1969"/>
      <c r="N71" s="1969"/>
      <c r="O71" s="1969"/>
      <c r="P71" s="4758"/>
      <c r="Q71" s="4758">
        <v>1</v>
      </c>
      <c r="R71" s="1981"/>
      <c r="S71" s="1972" t="str">
        <f>$J71</f>
        <v>2.1.1.1.1</v>
      </c>
      <c r="T71" s="1987" t="s">
        <v>548</v>
      </c>
      <c r="U71" s="1974"/>
      <c r="V71" s="4748"/>
      <c r="W71" s="4749"/>
      <c r="X71" s="4749"/>
      <c r="Y71" s="4749"/>
      <c r="Z71" s="4749"/>
      <c r="AA71" s="4749"/>
      <c r="AB71" s="4750"/>
      <c r="AC71" s="4748" t="s">
        <v>657</v>
      </c>
      <c r="AD71" s="4749"/>
      <c r="AE71" s="4749"/>
      <c r="AF71" s="4749"/>
      <c r="AG71" s="4749"/>
      <c r="AH71" s="4749"/>
      <c r="AI71" s="4749"/>
      <c r="AJ71" s="4750"/>
      <c r="AK71" s="1988" t="s">
        <v>623</v>
      </c>
      <c r="AL71" s="1978"/>
      <c r="AM71" s="1979"/>
      <c r="AN71" s="1979" t="str">
        <f t="shared" si="1"/>
        <v>Группа потребителей</v>
      </c>
      <c r="AO71" s="1979"/>
      <c r="AP71" s="1979"/>
    </row>
    <row r="72" spans="1:42" s="2055" customFormat="1" ht="23.25" customHeight="1">
      <c r="A72" s="1967"/>
      <c r="B72" s="1967"/>
      <c r="C72" s="1967"/>
      <c r="D72" s="1967"/>
      <c r="E72" s="4760">
        <v>1</v>
      </c>
      <c r="F72" s="4760"/>
      <c r="G72" s="4760"/>
      <c r="H72" s="4760"/>
      <c r="I72" s="4780"/>
      <c r="J72" s="4780"/>
      <c r="K72" s="4757" t="str">
        <f>J71&amp;".1"</f>
        <v>2.1.1.1.1.1</v>
      </c>
      <c r="L72" s="1968"/>
      <c r="M72" s="1969"/>
      <c r="N72" s="1969"/>
      <c r="O72" s="1969"/>
      <c r="P72" s="4758"/>
      <c r="Q72" s="4758"/>
      <c r="R72" s="1981">
        <v>1</v>
      </c>
      <c r="S72" s="1972" t="str">
        <f>$K72</f>
        <v>2.1.1.1.1.1</v>
      </c>
      <c r="T72" s="1973" t="s">
        <v>658</v>
      </c>
      <c r="U72" s="1974"/>
      <c r="V72" s="1975"/>
      <c r="W72" s="1975"/>
      <c r="X72" s="1976"/>
      <c r="Y72" s="4762"/>
      <c r="Z72" s="4608" t="s">
        <v>65</v>
      </c>
      <c r="AA72" s="4762"/>
      <c r="AB72" s="4608" t="s">
        <v>65</v>
      </c>
      <c r="AC72" s="1975">
        <v>30.7</v>
      </c>
      <c r="AD72" s="1975"/>
      <c r="AE72" s="1976"/>
      <c r="AF72" s="4762">
        <v>45292.432557870372</v>
      </c>
      <c r="AG72" s="4608" t="s">
        <v>65</v>
      </c>
      <c r="AH72" s="4781">
        <v>45473.432604166665</v>
      </c>
      <c r="AI72" s="4608" t="s">
        <v>65</v>
      </c>
      <c r="AJ72" s="1977"/>
      <c r="AK7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 s="1978" t="e">
        <f ca="1">STRCHECKDATE(V73:AJ73)</f>
        <v>#NAME?</v>
      </c>
      <c r="AM72" s="1979"/>
      <c r="AN72" s="1979" t="str">
        <f t="shared" si="1"/>
        <v>Население (с учетом НДС)</v>
      </c>
      <c r="AO72" s="1979"/>
      <c r="AP72" s="1979"/>
    </row>
    <row r="73" spans="1:42" s="2056" customFormat="1" ht="3.75" customHeight="1">
      <c r="A73" s="1967"/>
      <c r="B73" s="1967"/>
      <c r="C73" s="1967"/>
      <c r="D73" s="1967"/>
      <c r="E73" s="4760">
        <v>1</v>
      </c>
      <c r="F73" s="4760"/>
      <c r="G73" s="4760"/>
      <c r="H73" s="4760"/>
      <c r="I73" s="4780"/>
      <c r="J73" s="4780"/>
      <c r="K73" s="4757"/>
      <c r="L73" s="1968"/>
      <c r="M73" s="1969"/>
      <c r="N73" s="1969"/>
      <c r="O73" s="1969"/>
      <c r="P73" s="4758"/>
      <c r="Q73" s="4758"/>
      <c r="R73" s="1981"/>
      <c r="S73" s="1982"/>
      <c r="T73" s="1974"/>
      <c r="U73" s="1974"/>
      <c r="V73" s="1983"/>
      <c r="W73" s="1983"/>
      <c r="X73" s="1984" t="str">
        <f>Y72&amp;"-"&amp;AA72</f>
        <v>-</v>
      </c>
      <c r="Y73" s="4763"/>
      <c r="Z73" s="4608"/>
      <c r="AA73" s="4763"/>
      <c r="AB73" s="4608"/>
      <c r="AC73" s="1983"/>
      <c r="AD73" s="1983"/>
      <c r="AE73" s="1984" t="str">
        <f>AF72&amp;"-"&amp;AH72</f>
        <v>45292,4325578704-45473,4326041667</v>
      </c>
      <c r="AF73" s="4763"/>
      <c r="AG73" s="4608"/>
      <c r="AH73" s="4782"/>
      <c r="AI73" s="4608"/>
      <c r="AJ73" s="1985"/>
      <c r="AK73" s="4817"/>
      <c r="AL73" s="1978"/>
      <c r="AM73" s="1979"/>
      <c r="AN73" s="1979" t="str">
        <f t="shared" si="1"/>
        <v/>
      </c>
      <c r="AO73" s="1979"/>
      <c r="AP73" s="1979"/>
    </row>
    <row r="74" spans="1:42" s="2057" customFormat="1" ht="23.25" customHeight="1">
      <c r="A74" s="1967"/>
      <c r="B74" s="1967"/>
      <c r="C74" s="1967"/>
      <c r="D74" s="1967"/>
      <c r="E74" s="4760"/>
      <c r="F74" s="4760"/>
      <c r="G74" s="4760"/>
      <c r="H74" s="4760"/>
      <c r="I74" s="4780"/>
      <c r="J74" s="4780"/>
      <c r="K74" s="4757" t="str">
        <f>J71&amp;".2"</f>
        <v>2.1.1.1.1.2</v>
      </c>
      <c r="L74" s="1968"/>
      <c r="M74" s="1969"/>
      <c r="N74" s="1969"/>
      <c r="O74" s="1969"/>
      <c r="P74" s="4758"/>
      <c r="Q74" s="4758"/>
      <c r="R74" s="1971" t="s">
        <v>102</v>
      </c>
      <c r="S74" s="1972" t="str">
        <f>$K74</f>
        <v>2.1.1.1.1.2</v>
      </c>
      <c r="T74" s="1973" t="s">
        <v>658</v>
      </c>
      <c r="U74" s="1974"/>
      <c r="V74" s="1975"/>
      <c r="W74" s="1975"/>
      <c r="X74" s="1976"/>
      <c r="Y74" s="4762"/>
      <c r="Z74" s="4608" t="s">
        <v>65</v>
      </c>
      <c r="AA74" s="4762"/>
      <c r="AB74" s="4608" t="s">
        <v>65</v>
      </c>
      <c r="AC74" s="1975">
        <v>33.46</v>
      </c>
      <c r="AD74" s="1975"/>
      <c r="AE74" s="1976"/>
      <c r="AF74" s="4762">
        <v>45474.432673611111</v>
      </c>
      <c r="AG74" s="4608" t="s">
        <v>65</v>
      </c>
      <c r="AH74" s="4781">
        <v>45657.43277777778</v>
      </c>
      <c r="AI74" s="4608" t="s">
        <v>65</v>
      </c>
      <c r="AJ74" s="1977"/>
      <c r="AK7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 s="1978" t="e">
        <f ca="1">STRCHECKDATE(V75:AJ75)</f>
        <v>#NAME?</v>
      </c>
      <c r="AM74" s="1979"/>
      <c r="AN74" s="1979" t="str">
        <f t="shared" si="1"/>
        <v>Население (с учетом НДС)</v>
      </c>
      <c r="AO74" s="1979"/>
      <c r="AP74" s="1979"/>
    </row>
    <row r="75" spans="1:42" s="2058" customFormat="1" ht="3.75" customHeight="1">
      <c r="A75" s="1967"/>
      <c r="B75" s="1967"/>
      <c r="C75" s="1967"/>
      <c r="D75" s="1967"/>
      <c r="E75" s="4760"/>
      <c r="F75" s="4760"/>
      <c r="G75" s="4760"/>
      <c r="H75" s="4760"/>
      <c r="I75" s="4780"/>
      <c r="J75" s="4780"/>
      <c r="K75" s="4757" t="str">
        <f>J71&amp;".1"</f>
        <v>2.1.1.1.1.1</v>
      </c>
      <c r="L75" s="1968"/>
      <c r="M75" s="1969"/>
      <c r="N75" s="1969"/>
      <c r="O75" s="1969"/>
      <c r="P75" s="4758"/>
      <c r="Q75" s="4758"/>
      <c r="R75" s="1981"/>
      <c r="S75" s="1982"/>
      <c r="T75" s="1974"/>
      <c r="U75" s="1974"/>
      <c r="V75" s="1983"/>
      <c r="W75" s="1983"/>
      <c r="X75" s="1984" t="str">
        <f>Y74&amp;"-"&amp;AA74</f>
        <v>-</v>
      </c>
      <c r="Y75" s="4763"/>
      <c r="Z75" s="4608"/>
      <c r="AA75" s="4763"/>
      <c r="AB75" s="4608"/>
      <c r="AC75" s="1983"/>
      <c r="AD75" s="1983"/>
      <c r="AE75" s="1984" t="str">
        <f>AF74&amp;"-"&amp;AH74</f>
        <v>45474,4326736111-45657,4327777777</v>
      </c>
      <c r="AF75" s="4763"/>
      <c r="AG75" s="4608"/>
      <c r="AH75" s="4782"/>
      <c r="AI75" s="4608"/>
      <c r="AJ75" s="1985"/>
      <c r="AK75" s="4817"/>
      <c r="AL75" s="1978"/>
      <c r="AM75" s="1979"/>
      <c r="AN75" s="1979" t="str">
        <f t="shared" si="1"/>
        <v/>
      </c>
      <c r="AO75" s="1979"/>
      <c r="AP75" s="1979"/>
    </row>
    <row r="76" spans="1:42" s="2059" customFormat="1" ht="21" customHeight="1">
      <c r="A76" s="1967"/>
      <c r="B76" s="1967"/>
      <c r="C76" s="1967"/>
      <c r="D76" s="1967"/>
      <c r="E76" s="4760">
        <v>1</v>
      </c>
      <c r="F76" s="4760"/>
      <c r="G76" s="4760"/>
      <c r="H76" s="4760"/>
      <c r="I76" s="4780"/>
      <c r="J76" s="4757"/>
      <c r="K76" s="1967"/>
      <c r="L76" s="1968"/>
      <c r="M76" s="1969"/>
      <c r="N76" s="1969"/>
      <c r="O76" s="1969"/>
      <c r="P76" s="4758"/>
      <c r="Q76" s="4758"/>
      <c r="R76" s="1994"/>
      <c r="S76" s="2060"/>
      <c r="T76" s="2061" t="s">
        <v>624</v>
      </c>
      <c r="U76" s="2062"/>
      <c r="V76" s="2063"/>
      <c r="W76" s="2064"/>
      <c r="X76" s="2065"/>
      <c r="Y76" s="2066"/>
      <c r="Z76" s="2067"/>
      <c r="AA76" s="2068"/>
      <c r="AB76" s="2069"/>
      <c r="AC76" s="2070"/>
      <c r="AD76" s="2071"/>
      <c r="AE76" s="2072"/>
      <c r="AF76" s="2073"/>
      <c r="AG76" s="2074"/>
      <c r="AH76" s="2075"/>
      <c r="AI76" s="2076"/>
      <c r="AJ76" s="2077"/>
      <c r="AK76" s="2013" t="s">
        <v>625</v>
      </c>
      <c r="AL76" s="1978"/>
      <c r="AM76" s="1979"/>
      <c r="AN76" s="1979" t="str">
        <f t="shared" si="1"/>
        <v>Добавить значение признака дифференциации</v>
      </c>
      <c r="AO76" s="1979"/>
      <c r="AP76" s="1979"/>
    </row>
    <row r="77" spans="1:42" s="2078" customFormat="1" ht="23.25" customHeight="1">
      <c r="A77" s="1967"/>
      <c r="B77" s="1967"/>
      <c r="C77" s="1967"/>
      <c r="D77" s="1967"/>
      <c r="E77" s="4760"/>
      <c r="F77" s="4760"/>
      <c r="G77" s="4760"/>
      <c r="H77" s="4760"/>
      <c r="I77" s="4780"/>
      <c r="J77" s="4757" t="str">
        <f>I70&amp;".2"</f>
        <v>2.1.1.1.2</v>
      </c>
      <c r="K77" s="1967"/>
      <c r="L77" s="1968" t="s">
        <v>547</v>
      </c>
      <c r="M77" s="1969"/>
      <c r="N77" s="1969"/>
      <c r="O77" s="1969"/>
      <c r="P77" s="4758"/>
      <c r="Q77" s="4833" t="s">
        <v>102</v>
      </c>
      <c r="R77" s="1981"/>
      <c r="S77" s="1972" t="str">
        <f>$J77</f>
        <v>2.1.1.1.2</v>
      </c>
      <c r="T77" s="1987" t="s">
        <v>548</v>
      </c>
      <c r="U77" s="1974"/>
      <c r="V77" s="4748"/>
      <c r="W77" s="4749"/>
      <c r="X77" s="4749"/>
      <c r="Y77" s="4749"/>
      <c r="Z77" s="4749"/>
      <c r="AA77" s="4749"/>
      <c r="AB77" s="4750"/>
      <c r="AC77" s="4748" t="s">
        <v>659</v>
      </c>
      <c r="AD77" s="4749"/>
      <c r="AE77" s="4749"/>
      <c r="AF77" s="4749"/>
      <c r="AG77" s="4749"/>
      <c r="AH77" s="4749"/>
      <c r="AI77" s="4749"/>
      <c r="AJ77" s="4750"/>
      <c r="AK77" s="1988" t="s">
        <v>623</v>
      </c>
      <c r="AL77" s="1978"/>
      <c r="AM77" s="1979"/>
      <c r="AN77" s="1979" t="str">
        <f t="shared" si="1"/>
        <v>Группа потребителей</v>
      </c>
      <c r="AO77" s="1979"/>
      <c r="AP77" s="1979"/>
    </row>
    <row r="78" spans="1:42" s="2079" customFormat="1" ht="23.25" customHeight="1">
      <c r="A78" s="1967"/>
      <c r="B78" s="1967"/>
      <c r="C78" s="1967"/>
      <c r="D78" s="1967"/>
      <c r="E78" s="4760"/>
      <c r="F78" s="4760"/>
      <c r="G78" s="4760"/>
      <c r="H78" s="4760"/>
      <c r="I78" s="4780"/>
      <c r="J78" s="4780" t="str">
        <f>I70&amp;".1"</f>
        <v>2.1.1.1.1</v>
      </c>
      <c r="K78" s="4757" t="str">
        <f>J77&amp;".1"</f>
        <v>2.1.1.1.2.1</v>
      </c>
      <c r="L78" s="1968"/>
      <c r="M78" s="1969"/>
      <c r="N78" s="1969"/>
      <c r="O78" s="1969"/>
      <c r="P78" s="4758"/>
      <c r="Q78" s="4758"/>
      <c r="R78" s="1981">
        <v>1</v>
      </c>
      <c r="S78" s="1972" t="str">
        <f>$K78</f>
        <v>2.1.1.1.2.1</v>
      </c>
      <c r="T78" s="1973" t="s">
        <v>660</v>
      </c>
      <c r="U78" s="1974"/>
      <c r="V78" s="1975"/>
      <c r="W78" s="1975"/>
      <c r="X78" s="1976"/>
      <c r="Y78" s="4762"/>
      <c r="Z78" s="4608" t="s">
        <v>65</v>
      </c>
      <c r="AA78" s="4762"/>
      <c r="AB78" s="4608" t="s">
        <v>65</v>
      </c>
      <c r="AC78" s="1975">
        <v>86.08</v>
      </c>
      <c r="AD78" s="1975"/>
      <c r="AE78" s="1976"/>
      <c r="AF78" s="4762">
        <v>45292.434016203704</v>
      </c>
      <c r="AG78" s="4608" t="s">
        <v>65</v>
      </c>
      <c r="AH78" s="4781">
        <v>45473.434050925927</v>
      </c>
      <c r="AI78" s="4608" t="s">
        <v>65</v>
      </c>
      <c r="AJ78" s="1977"/>
      <c r="AK7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 s="1978" t="e">
        <f ca="1">STRCHECKDATE(V79:AJ79)</f>
        <v>#NAME?</v>
      </c>
      <c r="AM78" s="1979"/>
      <c r="AN78" s="1979" t="str">
        <f t="shared" si="1"/>
        <v>Потребители, кроме населения (без учета НДС)</v>
      </c>
      <c r="AO78" s="1979"/>
      <c r="AP78" s="1979"/>
    </row>
    <row r="79" spans="1:42" s="2080" customFormat="1" ht="14.25" customHeight="1">
      <c r="A79" s="1967"/>
      <c r="B79" s="1967"/>
      <c r="C79" s="1967"/>
      <c r="D79" s="1967"/>
      <c r="E79" s="4760"/>
      <c r="F79" s="4760"/>
      <c r="G79" s="4760"/>
      <c r="H79" s="4760"/>
      <c r="I79" s="4780"/>
      <c r="J79" s="4780" t="str">
        <f>I70&amp;".1"</f>
        <v>2.1.1.1.1</v>
      </c>
      <c r="K79" s="4757"/>
      <c r="L79" s="1968"/>
      <c r="M79" s="1969"/>
      <c r="N79" s="1969"/>
      <c r="O79" s="1969"/>
      <c r="P79" s="4758"/>
      <c r="Q79" s="4758"/>
      <c r="R79" s="1981"/>
      <c r="S79" s="1982"/>
      <c r="T79" s="1974"/>
      <c r="U79" s="1974"/>
      <c r="V79" s="1983"/>
      <c r="W79" s="1983"/>
      <c r="X79" s="1984" t="str">
        <f>Y78&amp;"-"&amp;AA78</f>
        <v>-</v>
      </c>
      <c r="Y79" s="4763"/>
      <c r="Z79" s="4608"/>
      <c r="AA79" s="4763"/>
      <c r="AB79" s="4608"/>
      <c r="AC79" s="1983"/>
      <c r="AD79" s="1983"/>
      <c r="AE79" s="1984" t="str">
        <f>AF78&amp;"-"&amp;AH78</f>
        <v>45292,4340162037-45473,4340509259</v>
      </c>
      <c r="AF79" s="4763"/>
      <c r="AG79" s="4608"/>
      <c r="AH79" s="4782"/>
      <c r="AI79" s="4608"/>
      <c r="AJ79" s="1985"/>
      <c r="AK79" s="4817"/>
      <c r="AL79" s="1978"/>
      <c r="AM79" s="1979"/>
      <c r="AN79" s="1979" t="str">
        <f t="shared" si="1"/>
        <v/>
      </c>
      <c r="AO79" s="1979"/>
      <c r="AP79" s="1979"/>
    </row>
    <row r="80" spans="1:42" s="2081" customFormat="1" ht="23.25" customHeight="1">
      <c r="A80" s="1967"/>
      <c r="B80" s="1967"/>
      <c r="C80" s="1967"/>
      <c r="D80" s="1967"/>
      <c r="E80" s="4760"/>
      <c r="F80" s="4760"/>
      <c r="G80" s="4760"/>
      <c r="H80" s="4760"/>
      <c r="I80" s="4780"/>
      <c r="J80" s="4780"/>
      <c r="K80" s="4757" t="str">
        <f>J77&amp;".2"</f>
        <v>2.1.1.1.2.2</v>
      </c>
      <c r="L80" s="1968"/>
      <c r="M80" s="1969"/>
      <c r="N80" s="1969"/>
      <c r="O80" s="1969"/>
      <c r="P80" s="4758"/>
      <c r="Q80" s="4758"/>
      <c r="R80" s="1971" t="s">
        <v>102</v>
      </c>
      <c r="S80" s="1972" t="str">
        <f>$K80</f>
        <v>2.1.1.1.2.2</v>
      </c>
      <c r="T80" s="1973" t="s">
        <v>660</v>
      </c>
      <c r="U80" s="1974"/>
      <c r="V80" s="1975"/>
      <c r="W80" s="1975"/>
      <c r="X80" s="1976"/>
      <c r="Y80" s="4762"/>
      <c r="Z80" s="4608" t="s">
        <v>65</v>
      </c>
      <c r="AA80" s="4762"/>
      <c r="AB80" s="4608" t="s">
        <v>65</v>
      </c>
      <c r="AC80" s="1975">
        <v>54.64</v>
      </c>
      <c r="AD80" s="1975"/>
      <c r="AE80" s="1976"/>
      <c r="AF80" s="4762">
        <v>45474.434131944443</v>
      </c>
      <c r="AG80" s="4608" t="s">
        <v>65</v>
      </c>
      <c r="AH80" s="4781">
        <v>45657.434201388889</v>
      </c>
      <c r="AI80" s="4608" t="s">
        <v>65</v>
      </c>
      <c r="AJ80" s="1977"/>
      <c r="AK8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 s="1978" t="e">
        <f ca="1">STRCHECKDATE(V81:AJ81)</f>
        <v>#NAME?</v>
      </c>
      <c r="AM80" s="1979"/>
      <c r="AN80" s="1979" t="str">
        <f t="shared" si="1"/>
        <v>Потребители, кроме населения (без учета НДС)</v>
      </c>
      <c r="AO80" s="1979"/>
      <c r="AP80" s="1979"/>
    </row>
    <row r="81" spans="1:42" s="2082" customFormat="1" ht="14.25" customHeight="1">
      <c r="A81" s="1967"/>
      <c r="B81" s="1967"/>
      <c r="C81" s="1967"/>
      <c r="D81" s="1967"/>
      <c r="E81" s="4760"/>
      <c r="F81" s="4760"/>
      <c r="G81" s="4760"/>
      <c r="H81" s="4760"/>
      <c r="I81" s="4780"/>
      <c r="J81" s="4780"/>
      <c r="K81" s="4757" t="str">
        <f>J77&amp;".1"</f>
        <v>2.1.1.1.2.1</v>
      </c>
      <c r="L81" s="1968"/>
      <c r="M81" s="1969"/>
      <c r="N81" s="1969"/>
      <c r="O81" s="1969"/>
      <c r="P81" s="4758"/>
      <c r="Q81" s="4758"/>
      <c r="R81" s="1981"/>
      <c r="S81" s="1982"/>
      <c r="T81" s="1974"/>
      <c r="U81" s="1974"/>
      <c r="V81" s="1983"/>
      <c r="W81" s="1983"/>
      <c r="X81" s="1984" t="str">
        <f>Y80&amp;"-"&amp;AA80</f>
        <v>-</v>
      </c>
      <c r="Y81" s="4763"/>
      <c r="Z81" s="4608"/>
      <c r="AA81" s="4763"/>
      <c r="AB81" s="4608"/>
      <c r="AC81" s="1983"/>
      <c r="AD81" s="1983"/>
      <c r="AE81" s="1984" t="str">
        <f>AF80&amp;"-"&amp;AH80</f>
        <v>45474,4341319444-45657,4342013889</v>
      </c>
      <c r="AF81" s="4763"/>
      <c r="AG81" s="4608"/>
      <c r="AH81" s="4782"/>
      <c r="AI81" s="4608"/>
      <c r="AJ81" s="1985"/>
      <c r="AK81" s="4817"/>
      <c r="AL81" s="1978"/>
      <c r="AM81" s="1979"/>
      <c r="AN81" s="1979" t="str">
        <f t="shared" si="1"/>
        <v/>
      </c>
      <c r="AO81" s="1979"/>
      <c r="AP81" s="1979"/>
    </row>
    <row r="82" spans="1:42" s="2083" customFormat="1" ht="21" customHeight="1">
      <c r="A82" s="1967"/>
      <c r="B82" s="1967"/>
      <c r="C82" s="1967"/>
      <c r="D82" s="1967"/>
      <c r="E82" s="4760"/>
      <c r="F82" s="4760"/>
      <c r="G82" s="4760"/>
      <c r="H82" s="4760"/>
      <c r="I82" s="4780"/>
      <c r="J82" s="4757" t="str">
        <f>I70&amp;".1"</f>
        <v>2.1.1.1.1</v>
      </c>
      <c r="K82" s="1967"/>
      <c r="L82" s="1968"/>
      <c r="M82" s="1969"/>
      <c r="N82" s="1969"/>
      <c r="O82" s="1969"/>
      <c r="P82" s="4758"/>
      <c r="Q82" s="4758"/>
      <c r="R82" s="1994"/>
      <c r="S82" s="2084"/>
      <c r="T82" s="2085" t="s">
        <v>624</v>
      </c>
      <c r="U82" s="2086"/>
      <c r="V82" s="2087"/>
      <c r="W82" s="2088"/>
      <c r="X82" s="2089"/>
      <c r="Y82" s="2090"/>
      <c r="Z82" s="2091"/>
      <c r="AA82" s="2092"/>
      <c r="AB82" s="2093"/>
      <c r="AC82" s="2094"/>
      <c r="AD82" s="2095"/>
      <c r="AE82" s="2096"/>
      <c r="AF82" s="2097"/>
      <c r="AG82" s="2098"/>
      <c r="AH82" s="2099"/>
      <c r="AI82" s="2100"/>
      <c r="AJ82" s="2101"/>
      <c r="AK82" s="2013" t="s">
        <v>625</v>
      </c>
      <c r="AL82" s="1978"/>
      <c r="AM82" s="1979"/>
      <c r="AN82" s="1979" t="str">
        <f t="shared" si="1"/>
        <v>Добавить значение признака дифференциации</v>
      </c>
      <c r="AO82" s="1979"/>
      <c r="AP82" s="1979"/>
    </row>
    <row r="83" spans="1:42" s="2102" customFormat="1" ht="23.25" customHeight="1">
      <c r="A83" s="1967"/>
      <c r="B83" s="1967"/>
      <c r="C83" s="1967"/>
      <c r="D83" s="1967"/>
      <c r="E83" s="4760"/>
      <c r="F83" s="4760"/>
      <c r="G83" s="4760"/>
      <c r="H83" s="4760"/>
      <c r="I83" s="4780"/>
      <c r="J83" s="4757" t="str">
        <f>I70&amp;".3"</f>
        <v>2.1.1.1.3</v>
      </c>
      <c r="K83" s="1967"/>
      <c r="L83" s="1968" t="s">
        <v>547</v>
      </c>
      <c r="M83" s="1969"/>
      <c r="N83" s="1969"/>
      <c r="O83" s="1969"/>
      <c r="P83" s="4758"/>
      <c r="Q83" s="4833" t="s">
        <v>102</v>
      </c>
      <c r="R83" s="1981"/>
      <c r="S83" s="1972" t="str">
        <f>$J83</f>
        <v>2.1.1.1.3</v>
      </c>
      <c r="T83" s="1987" t="s">
        <v>548</v>
      </c>
      <c r="U83" s="1974"/>
      <c r="V83" s="4748"/>
      <c r="W83" s="4749"/>
      <c r="X83" s="4749"/>
      <c r="Y83" s="4749"/>
      <c r="Z83" s="4749"/>
      <c r="AA83" s="4749"/>
      <c r="AB83" s="4750"/>
      <c r="AC83" s="4748" t="s">
        <v>661</v>
      </c>
      <c r="AD83" s="4749"/>
      <c r="AE83" s="4749"/>
      <c r="AF83" s="4749"/>
      <c r="AG83" s="4749"/>
      <c r="AH83" s="4749"/>
      <c r="AI83" s="4749"/>
      <c r="AJ83" s="4750"/>
      <c r="AK83" s="1988" t="s">
        <v>623</v>
      </c>
      <c r="AL83" s="1978"/>
      <c r="AM83" s="1979"/>
      <c r="AN83" s="1979" t="str">
        <f t="shared" si="1"/>
        <v>Группа потребителей</v>
      </c>
      <c r="AO83" s="1979"/>
      <c r="AP83" s="1979"/>
    </row>
    <row r="84" spans="1:42" s="2103" customFormat="1" ht="23.25" customHeight="1">
      <c r="A84" s="1967"/>
      <c r="B84" s="1967"/>
      <c r="C84" s="1967"/>
      <c r="D84" s="1967"/>
      <c r="E84" s="4760"/>
      <c r="F84" s="4760"/>
      <c r="G84" s="4760"/>
      <c r="H84" s="4760"/>
      <c r="I84" s="4780"/>
      <c r="J84" s="4780" t="str">
        <f>I70&amp;".2"</f>
        <v>2.1.1.1.2</v>
      </c>
      <c r="K84" s="4757" t="str">
        <f>J83&amp;".1"</f>
        <v>2.1.1.1.3.1</v>
      </c>
      <c r="L84" s="1968"/>
      <c r="M84" s="1969"/>
      <c r="N84" s="1969"/>
      <c r="O84" s="1969"/>
      <c r="P84" s="4758"/>
      <c r="Q84" s="4758"/>
      <c r="R84" s="1981">
        <v>1</v>
      </c>
      <c r="S84" s="1972" t="str">
        <f>$K84</f>
        <v>2.1.1.1.3.1</v>
      </c>
      <c r="T84" s="1973" t="s">
        <v>660</v>
      </c>
      <c r="U84" s="1974"/>
      <c r="V84" s="1975"/>
      <c r="W84" s="1975"/>
      <c r="X84" s="1976"/>
      <c r="Y84" s="4762"/>
      <c r="Z84" s="4608" t="s">
        <v>65</v>
      </c>
      <c r="AA84" s="4762"/>
      <c r="AB84" s="4608" t="s">
        <v>65</v>
      </c>
      <c r="AC84" s="1975">
        <v>86.08</v>
      </c>
      <c r="AD84" s="1975"/>
      <c r="AE84" s="1976"/>
      <c r="AF84" s="4762">
        <v>45292.434594907405</v>
      </c>
      <c r="AG84" s="4608" t="s">
        <v>65</v>
      </c>
      <c r="AH84" s="4781">
        <v>45473.434629629628</v>
      </c>
      <c r="AI84" s="4608" t="s">
        <v>65</v>
      </c>
      <c r="AJ84" s="1977"/>
      <c r="AK8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 s="1978" t="e">
        <f ca="1">STRCHECKDATE(V85:AJ85)</f>
        <v>#NAME?</v>
      </c>
      <c r="AM84" s="1979"/>
      <c r="AN84" s="1979" t="str">
        <f t="shared" si="1"/>
        <v>Потребители, кроме населения (без учета НДС)</v>
      </c>
      <c r="AO84" s="1979"/>
      <c r="AP84" s="1979"/>
    </row>
    <row r="85" spans="1:42" s="2104" customFormat="1" ht="14.25" customHeight="1">
      <c r="A85" s="1967"/>
      <c r="B85" s="1967"/>
      <c r="C85" s="1967"/>
      <c r="D85" s="1967"/>
      <c r="E85" s="4760"/>
      <c r="F85" s="4760"/>
      <c r="G85" s="4760"/>
      <c r="H85" s="4760"/>
      <c r="I85" s="4780"/>
      <c r="J85" s="4780" t="str">
        <f>I70&amp;".2"</f>
        <v>2.1.1.1.2</v>
      </c>
      <c r="K85" s="4757"/>
      <c r="L85" s="1968"/>
      <c r="M85" s="1969"/>
      <c r="N85" s="1969"/>
      <c r="O85" s="1969"/>
      <c r="P85" s="4758"/>
      <c r="Q85" s="4758"/>
      <c r="R85" s="1981"/>
      <c r="S85" s="1982"/>
      <c r="T85" s="1974"/>
      <c r="U85" s="1974"/>
      <c r="V85" s="1983"/>
      <c r="W85" s="1983"/>
      <c r="X85" s="1984" t="str">
        <f>Y84&amp;"-"&amp;AA84</f>
        <v>-</v>
      </c>
      <c r="Y85" s="4763"/>
      <c r="Z85" s="4608"/>
      <c r="AA85" s="4763"/>
      <c r="AB85" s="4608"/>
      <c r="AC85" s="1983"/>
      <c r="AD85" s="1983"/>
      <c r="AE85" s="1984" t="str">
        <f>AF84&amp;"-"&amp;AH84</f>
        <v>45292,4345949074-45473,4346296296</v>
      </c>
      <c r="AF85" s="4763"/>
      <c r="AG85" s="4608"/>
      <c r="AH85" s="4782"/>
      <c r="AI85" s="4608"/>
      <c r="AJ85" s="1985"/>
      <c r="AK85" s="4817"/>
      <c r="AL85" s="1978"/>
      <c r="AM85" s="1979"/>
      <c r="AN85" s="1979" t="str">
        <f t="shared" si="1"/>
        <v/>
      </c>
      <c r="AO85" s="1979"/>
      <c r="AP85" s="1979"/>
    </row>
    <row r="86" spans="1:42" s="2105" customFormat="1" ht="23.25" customHeight="1">
      <c r="A86" s="1967"/>
      <c r="B86" s="1967"/>
      <c r="C86" s="1967"/>
      <c r="D86" s="1967"/>
      <c r="E86" s="4760"/>
      <c r="F86" s="4760"/>
      <c r="G86" s="4760"/>
      <c r="H86" s="4760"/>
      <c r="I86" s="4780"/>
      <c r="J86" s="4780"/>
      <c r="K86" s="4757" t="str">
        <f>J83&amp;".2"</f>
        <v>2.1.1.1.3.2</v>
      </c>
      <c r="L86" s="1968"/>
      <c r="M86" s="1969"/>
      <c r="N86" s="1969"/>
      <c r="O86" s="1969"/>
      <c r="P86" s="4758"/>
      <c r="Q86" s="4758"/>
      <c r="R86" s="1971" t="s">
        <v>102</v>
      </c>
      <c r="S86" s="1972" t="str">
        <f>$K86</f>
        <v>2.1.1.1.3.2</v>
      </c>
      <c r="T86" s="1973" t="s">
        <v>660</v>
      </c>
      <c r="U86" s="1974"/>
      <c r="V86" s="1975"/>
      <c r="W86" s="1975"/>
      <c r="X86" s="1976"/>
      <c r="Y86" s="4762"/>
      <c r="Z86" s="4608" t="s">
        <v>65</v>
      </c>
      <c r="AA86" s="4762"/>
      <c r="AB86" s="4608" t="s">
        <v>65</v>
      </c>
      <c r="AC86" s="1975">
        <v>54.64</v>
      </c>
      <c r="AD86" s="1975"/>
      <c r="AE86" s="1976"/>
      <c r="AF86" s="4762">
        <v>45474.434687499997</v>
      </c>
      <c r="AG86" s="4608" t="s">
        <v>65</v>
      </c>
      <c r="AH86" s="4781">
        <v>45657.43482638889</v>
      </c>
      <c r="AI86" s="4608" t="s">
        <v>65</v>
      </c>
      <c r="AJ86" s="1977"/>
      <c r="AK8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 s="1978" t="e">
        <f ca="1">STRCHECKDATE(V87:AJ87)</f>
        <v>#NAME?</v>
      </c>
      <c r="AM86" s="1979"/>
      <c r="AN86" s="1979" t="str">
        <f t="shared" si="1"/>
        <v>Потребители, кроме населения (без учета НДС)</v>
      </c>
      <c r="AO86" s="1979"/>
      <c r="AP86" s="1979"/>
    </row>
    <row r="87" spans="1:42" s="2106" customFormat="1" ht="14.25" customHeight="1">
      <c r="A87" s="1967"/>
      <c r="B87" s="1967"/>
      <c r="C87" s="1967"/>
      <c r="D87" s="1967"/>
      <c r="E87" s="4760"/>
      <c r="F87" s="4760"/>
      <c r="G87" s="4760"/>
      <c r="H87" s="4760"/>
      <c r="I87" s="4780"/>
      <c r="J87" s="4780"/>
      <c r="K87" s="4757" t="str">
        <f>J83&amp;".1"</f>
        <v>2.1.1.1.3.1</v>
      </c>
      <c r="L87" s="1968"/>
      <c r="M87" s="1969"/>
      <c r="N87" s="1969"/>
      <c r="O87" s="1969"/>
      <c r="P87" s="4758"/>
      <c r="Q87" s="4758"/>
      <c r="R87" s="1981"/>
      <c r="S87" s="1982"/>
      <c r="T87" s="1974"/>
      <c r="U87" s="1974"/>
      <c r="V87" s="1983"/>
      <c r="W87" s="1983"/>
      <c r="X87" s="1984" t="str">
        <f>Y86&amp;"-"&amp;AA86</f>
        <v>-</v>
      </c>
      <c r="Y87" s="4763"/>
      <c r="Z87" s="4608"/>
      <c r="AA87" s="4763"/>
      <c r="AB87" s="4608"/>
      <c r="AC87" s="1983"/>
      <c r="AD87" s="1983"/>
      <c r="AE87" s="1984" t="str">
        <f>AF86&amp;"-"&amp;AH86</f>
        <v>45474,4346875-45657,4348263889</v>
      </c>
      <c r="AF87" s="4763"/>
      <c r="AG87" s="4608"/>
      <c r="AH87" s="4782"/>
      <c r="AI87" s="4608"/>
      <c r="AJ87" s="1985"/>
      <c r="AK87" s="4817"/>
      <c r="AL87" s="1978"/>
      <c r="AM87" s="1979"/>
      <c r="AN87" s="1979" t="str">
        <f t="shared" si="1"/>
        <v/>
      </c>
      <c r="AO87" s="1979"/>
      <c r="AP87" s="1979"/>
    </row>
    <row r="88" spans="1:42" s="2107" customFormat="1" ht="21" customHeight="1">
      <c r="A88" s="1967"/>
      <c r="B88" s="1967"/>
      <c r="C88" s="1967"/>
      <c r="D88" s="1967"/>
      <c r="E88" s="4760"/>
      <c r="F88" s="4760"/>
      <c r="G88" s="4760"/>
      <c r="H88" s="4760"/>
      <c r="I88" s="4780"/>
      <c r="J88" s="4757" t="str">
        <f>I70&amp;".2"</f>
        <v>2.1.1.1.2</v>
      </c>
      <c r="K88" s="1967"/>
      <c r="L88" s="1968"/>
      <c r="M88" s="1969"/>
      <c r="N88" s="1969"/>
      <c r="O88" s="1969"/>
      <c r="P88" s="4758"/>
      <c r="Q88" s="4758"/>
      <c r="R88" s="1994"/>
      <c r="S88" s="2108"/>
      <c r="T88" s="2109" t="s">
        <v>624</v>
      </c>
      <c r="U88" s="2110"/>
      <c r="V88" s="2111"/>
      <c r="W88" s="2112"/>
      <c r="X88" s="2113"/>
      <c r="Y88" s="2114"/>
      <c r="Z88" s="2115"/>
      <c r="AA88" s="2116"/>
      <c r="AB88" s="2117"/>
      <c r="AC88" s="2118"/>
      <c r="AD88" s="2119"/>
      <c r="AE88" s="2120"/>
      <c r="AF88" s="2121"/>
      <c r="AG88" s="2122"/>
      <c r="AH88" s="2123"/>
      <c r="AI88" s="2124"/>
      <c r="AJ88" s="2125"/>
      <c r="AK88" s="2013" t="s">
        <v>625</v>
      </c>
      <c r="AL88" s="1978"/>
      <c r="AM88" s="1979"/>
      <c r="AN88" s="1979" t="str">
        <f t="shared" si="1"/>
        <v>Добавить значение признака дифференциации</v>
      </c>
      <c r="AO88" s="1979"/>
      <c r="AP88" s="1979"/>
    </row>
    <row r="89" spans="1:42" s="2126" customFormat="1" ht="21" customHeight="1">
      <c r="A89" s="1967"/>
      <c r="B89" s="1967"/>
      <c r="C89" s="1967"/>
      <c r="D89" s="1967"/>
      <c r="E89" s="4760">
        <v>1</v>
      </c>
      <c r="F89" s="4760"/>
      <c r="G89" s="4760"/>
      <c r="H89" s="4760"/>
      <c r="I89" s="4757"/>
      <c r="J89" s="1967"/>
      <c r="K89" s="1967"/>
      <c r="L89" s="1968"/>
      <c r="M89" s="1969"/>
      <c r="N89" s="1969"/>
      <c r="O89" s="1969"/>
      <c r="P89" s="4758"/>
      <c r="Q89" s="1970"/>
      <c r="R89" s="1994"/>
      <c r="S89" s="2127"/>
      <c r="T89" s="2128" t="s">
        <v>553</v>
      </c>
      <c r="U89" s="2129"/>
      <c r="V89" s="2130"/>
      <c r="W89" s="2131"/>
      <c r="X89" s="2132"/>
      <c r="Y89" s="2133"/>
      <c r="Z89" s="2134"/>
      <c r="AA89" s="2135"/>
      <c r="AB89" s="2136"/>
      <c r="AC89" s="2137"/>
      <c r="AD89" s="2138"/>
      <c r="AE89" s="2139"/>
      <c r="AF89" s="2140"/>
      <c r="AG89" s="2141"/>
      <c r="AH89" s="2142"/>
      <c r="AI89" s="2143"/>
      <c r="AJ89" s="2144"/>
      <c r="AK89" s="2145"/>
      <c r="AL89" s="1978"/>
      <c r="AM89" s="1979"/>
      <c r="AN89" s="1979" t="str">
        <f t="shared" si="1"/>
        <v>Добавить группу потребителей</v>
      </c>
      <c r="AO89" s="1979"/>
      <c r="AP89" s="1979"/>
    </row>
    <row r="90" spans="1:42" s="2146" customFormat="1" ht="21" customHeight="1">
      <c r="A90" s="1967"/>
      <c r="B90" s="1967"/>
      <c r="C90" s="1967"/>
      <c r="D90" s="1967"/>
      <c r="E90" s="4760">
        <v>1</v>
      </c>
      <c r="F90" s="4760"/>
      <c r="G90" s="4760"/>
      <c r="H90" s="4759"/>
      <c r="I90" s="1967"/>
      <c r="J90" s="1967"/>
      <c r="K90" s="1967"/>
      <c r="L90" s="1968"/>
      <c r="M90" s="2039"/>
      <c r="N90" s="2039"/>
      <c r="O90" s="2147"/>
      <c r="P90" s="2041"/>
      <c r="Q90" s="2148"/>
      <c r="R90" s="2042"/>
      <c r="S90" s="2149"/>
      <c r="T90" s="2150" t="s">
        <v>626</v>
      </c>
      <c r="U90" s="2151"/>
      <c r="V90" s="2152"/>
      <c r="W90" s="2153"/>
      <c r="X90" s="2154"/>
      <c r="Y90" s="2155"/>
      <c r="Z90" s="2156"/>
      <c r="AA90" s="2157"/>
      <c r="AB90" s="2158"/>
      <c r="AC90" s="2159"/>
      <c r="AD90" s="2160"/>
      <c r="AE90" s="2161"/>
      <c r="AF90" s="2162"/>
      <c r="AG90" s="2163"/>
      <c r="AH90" s="2164"/>
      <c r="AI90" s="2165"/>
      <c r="AJ90" s="2166"/>
      <c r="AK90" s="2167"/>
      <c r="AL90" s="1978"/>
      <c r="AM90" s="1979"/>
      <c r="AN90" s="1979" t="str">
        <f t="shared" si="1"/>
        <v>Добавить наименование признака дифференциации</v>
      </c>
      <c r="AO90" s="1979"/>
      <c r="AP90" s="1979"/>
    </row>
    <row r="91" spans="1:42" s="2168" customFormat="1" ht="14.25" customHeight="1">
      <c r="A91" s="2169"/>
      <c r="B91" s="2169"/>
      <c r="C91" s="2169"/>
      <c r="D91" s="2169"/>
      <c r="E91" s="4760">
        <v>1</v>
      </c>
      <c r="F91" s="4759"/>
      <c r="G91" s="2169"/>
      <c r="H91" s="2169"/>
      <c r="I91" s="2169"/>
      <c r="J91" s="2169"/>
      <c r="K91" s="2169"/>
      <c r="L91" s="2170"/>
      <c r="M91" s="2171"/>
      <c r="N91" s="2171"/>
      <c r="O91" s="1978"/>
      <c r="P91" s="2172"/>
      <c r="Q91" s="2173"/>
      <c r="R91" s="2172"/>
      <c r="S91" s="2174"/>
      <c r="T91" s="2175" t="s">
        <v>316</v>
      </c>
      <c r="U91" s="2176"/>
      <c r="V91" s="2176"/>
      <c r="W91" s="2176"/>
      <c r="X91" s="2176"/>
      <c r="Y91" s="2176"/>
      <c r="Z91" s="2176"/>
      <c r="AA91" s="2176"/>
      <c r="AB91" s="2176"/>
      <c r="AC91" s="2176"/>
      <c r="AD91" s="2176"/>
      <c r="AE91" s="2176"/>
      <c r="AF91" s="2176"/>
      <c r="AG91" s="2176"/>
      <c r="AH91" s="2176"/>
      <c r="AI91" s="2176"/>
      <c r="AJ91" s="2176"/>
      <c r="AK91" s="2176"/>
      <c r="AL91" s="1978"/>
      <c r="AM91" s="1979"/>
      <c r="AN91" s="1979" t="str">
        <f t="shared" si="1"/>
        <v>Добавить централизованную систему для дифференциации</v>
      </c>
      <c r="AO91" s="1979"/>
      <c r="AP91" s="1979"/>
    </row>
    <row r="92" spans="1:42" s="2177" customFormat="1" ht="14.25" customHeight="1">
      <c r="A92" s="2169"/>
      <c r="B92" s="2169"/>
      <c r="C92" s="2169"/>
      <c r="D92" s="2169"/>
      <c r="E92" s="4759">
        <v>1</v>
      </c>
      <c r="F92" s="2169"/>
      <c r="G92" s="2169"/>
      <c r="H92" s="2169"/>
      <c r="I92" s="2169"/>
      <c r="J92" s="2169"/>
      <c r="K92" s="2169"/>
      <c r="L92" s="2170"/>
      <c r="M92" s="2171"/>
      <c r="N92" s="2171"/>
      <c r="O92" s="1978"/>
      <c r="P92" s="2172"/>
      <c r="Q92" s="2173"/>
      <c r="R92" s="2172"/>
      <c r="S92" s="2174"/>
      <c r="T92" s="2175" t="s">
        <v>317</v>
      </c>
      <c r="U92" s="2176"/>
      <c r="V92" s="2176"/>
      <c r="W92" s="2176"/>
      <c r="X92" s="2176"/>
      <c r="Y92" s="2176"/>
      <c r="Z92" s="2176"/>
      <c r="AA92" s="2176"/>
      <c r="AB92" s="2176"/>
      <c r="AC92" s="2176"/>
      <c r="AD92" s="2176"/>
      <c r="AE92" s="2176"/>
      <c r="AF92" s="2176"/>
      <c r="AG92" s="2176"/>
      <c r="AH92" s="2176"/>
      <c r="AI92" s="2176"/>
      <c r="AJ92" s="2176"/>
      <c r="AK92" s="2176"/>
      <c r="AL92" s="1978"/>
      <c r="AM92" s="1979"/>
      <c r="AN92" s="1979" t="str">
        <f t="shared" si="1"/>
        <v>Добавить территорию для дифференциации</v>
      </c>
      <c r="AO92" s="1979"/>
      <c r="AP92" s="1979"/>
    </row>
    <row r="93" spans="1:42" s="2178" customFormat="1" ht="23.25" customHeight="1">
      <c r="A93" s="1967" t="s">
        <v>324</v>
      </c>
      <c r="B93" s="1967"/>
      <c r="C93" s="1967"/>
      <c r="D93" s="1967"/>
      <c r="E93" s="4759" t="s">
        <v>88</v>
      </c>
      <c r="F93" s="1967"/>
      <c r="G93" s="1967"/>
      <c r="H93" s="1967"/>
      <c r="I93" s="1967"/>
      <c r="J93" s="1967"/>
      <c r="K93" s="1967"/>
      <c r="L93" s="1968"/>
      <c r="M93" s="2039"/>
      <c r="N93" s="2039"/>
      <c r="O93" s="2039"/>
      <c r="P93" s="2040"/>
      <c r="Q93" s="2041"/>
      <c r="R93" s="2042"/>
      <c r="S93" s="1972" t="str">
        <f>INDEX(PT_DIFFERENTIATION_NUM_NTAR,MATCH(A93,PT_DIFFERENTIATION_NTAR_ID,0))</f>
        <v>3</v>
      </c>
      <c r="T93" s="2043" t="s">
        <v>185</v>
      </c>
      <c r="U93" s="1974"/>
      <c r="V93" s="4745"/>
      <c r="W93" s="4746"/>
      <c r="X93" s="4746"/>
      <c r="Y93" s="4746"/>
      <c r="Z93" s="4746"/>
      <c r="AA93" s="4746"/>
      <c r="AB93" s="4747"/>
      <c r="AC93" s="4745" t="str">
        <f>INDEX(PT_DIFFERENTIATION_NTAR,MATCH(A93,PT_DIFFERENTIATION_NTAR_ID,0))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AD93" s="4746"/>
      <c r="AE93" s="4746"/>
      <c r="AF93" s="4746"/>
      <c r="AG93" s="4746"/>
      <c r="AH93" s="4746"/>
      <c r="AI93" s="4746"/>
      <c r="AJ93" s="4747"/>
      <c r="AK93"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93" s="1978"/>
      <c r="AM93" s="1979"/>
      <c r="AN93" s="1979" t="str">
        <f t="shared" si="1"/>
        <v>Наименование тарифа</v>
      </c>
      <c r="AO93" s="1979"/>
      <c r="AP93" s="1979"/>
    </row>
    <row r="94" spans="1:42" s="2179" customFormat="1" ht="23.25" customHeight="1">
      <c r="A94" s="1967"/>
      <c r="B94" s="1967" t="s">
        <v>325</v>
      </c>
      <c r="C94" s="1967"/>
      <c r="D94" s="1967"/>
      <c r="E94" s="4760" t="s">
        <v>101</v>
      </c>
      <c r="F94" s="4759">
        <v>1</v>
      </c>
      <c r="G94" s="1967"/>
      <c r="H94" s="1967"/>
      <c r="I94" s="1967"/>
      <c r="J94" s="1967"/>
      <c r="K94" s="1967"/>
      <c r="L94" s="1968"/>
      <c r="M94" s="2039"/>
      <c r="N94" s="2039"/>
      <c r="O94" s="2039"/>
      <c r="P94" s="2045"/>
      <c r="Q94" s="2046"/>
      <c r="R94" s="2047"/>
      <c r="S94" s="1972" t="str">
        <f>INDEX(PT_DIFFERENTIATION_NUM_TER,MATCH(B94,PT_DIFFERENTIATION_TER_ID,0))</f>
        <v>3.1</v>
      </c>
      <c r="T94" s="2048" t="s">
        <v>538</v>
      </c>
      <c r="U94" s="1974"/>
      <c r="V94" s="4745"/>
      <c r="W94" s="4746"/>
      <c r="X94" s="4746"/>
      <c r="Y94" s="4746"/>
      <c r="Z94" s="4746"/>
      <c r="AA94" s="4746"/>
      <c r="AB94" s="4747"/>
      <c r="AC94" s="4745" t="str">
        <f>INDEX(PT_DIFFERENTIATION_TER,MATCH(B94,PT_DIFFERENTIATION_TER_ID,0))</f>
        <v>Территория 2</v>
      </c>
      <c r="AD94" s="4746"/>
      <c r="AE94" s="4746"/>
      <c r="AF94" s="4746"/>
      <c r="AG94" s="4746"/>
      <c r="AH94" s="4746"/>
      <c r="AI94" s="4746"/>
      <c r="AJ94" s="4747"/>
      <c r="AK94" s="2013" t="s">
        <v>539</v>
      </c>
      <c r="AL94" s="1978"/>
      <c r="AM94" s="1979"/>
      <c r="AN94" s="1979" t="str">
        <f t="shared" si="1"/>
        <v>Территория действия тарифа</v>
      </c>
      <c r="AO94" s="1979"/>
      <c r="AP94" s="1979"/>
    </row>
    <row r="95" spans="1:42" s="2180" customFormat="1" ht="23.25" customHeight="1">
      <c r="A95" s="1967"/>
      <c r="B95" s="1967"/>
      <c r="C95" s="1967" t="s">
        <v>326</v>
      </c>
      <c r="D95" s="1967"/>
      <c r="E95" s="4760" t="s">
        <v>101</v>
      </c>
      <c r="F95" s="4760"/>
      <c r="G95" s="4759">
        <v>1</v>
      </c>
      <c r="H95" s="1967"/>
      <c r="I95" s="1967"/>
      <c r="J95" s="1967"/>
      <c r="K95" s="1967"/>
      <c r="L95" s="1968"/>
      <c r="M95" s="2039"/>
      <c r="N95" s="2039"/>
      <c r="O95" s="2039"/>
      <c r="P95" s="2050"/>
      <c r="Q95" s="2046"/>
      <c r="R95" s="2047"/>
      <c r="S95" s="1972" t="str">
        <f>INDEX(PT_DIFFERENTIATION_NUM_CS,MATCH(C95,PT_DIFFERENTIATION_CS_ID,0))</f>
        <v>3.1.1</v>
      </c>
      <c r="T95" s="2051" t="s">
        <v>652</v>
      </c>
      <c r="U95" s="1974"/>
      <c r="V95" s="4745"/>
      <c r="W95" s="4746"/>
      <c r="X95" s="4746"/>
      <c r="Y95" s="4746"/>
      <c r="Z95" s="4746"/>
      <c r="AA95" s="4746"/>
      <c r="AB95" s="4747"/>
      <c r="AC95" s="4745" t="str">
        <f>INDEX(PT_DIFFERENTIATION_CS,MATCH(C95,PT_DIFFERENTIATION_CS_ID,0))</f>
        <v>без дифференциации</v>
      </c>
      <c r="AD95" s="4746"/>
      <c r="AE95" s="4746"/>
      <c r="AF95" s="4746"/>
      <c r="AG95" s="4746"/>
      <c r="AH95" s="4746"/>
      <c r="AI95" s="4746"/>
      <c r="AJ95" s="4747"/>
      <c r="AK95" s="2013" t="s">
        <v>653</v>
      </c>
      <c r="AL95" s="1978"/>
      <c r="AM95" s="1979"/>
      <c r="AN95" s="1979" t="str">
        <f t="shared" si="1"/>
        <v>Наименование централизованной системы водоотведения</v>
      </c>
      <c r="AO95" s="1979"/>
      <c r="AP95" s="1979"/>
    </row>
    <row r="96" spans="1:42" s="2181" customFormat="1" ht="23.25" customHeight="1">
      <c r="A96" s="1967"/>
      <c r="B96" s="1967"/>
      <c r="C96" s="1967"/>
      <c r="D96" s="1967"/>
      <c r="E96" s="4760" t="s">
        <v>101</v>
      </c>
      <c r="F96" s="4760"/>
      <c r="G96" s="4760"/>
      <c r="H96" s="4760"/>
      <c r="I96" s="4757" t="str">
        <f>S95&amp;".1"</f>
        <v>3.1.1.1</v>
      </c>
      <c r="J96" s="1967"/>
      <c r="K96" s="1967"/>
      <c r="L96" s="1968"/>
      <c r="M96" s="1969"/>
      <c r="N96" s="1969"/>
      <c r="O96" s="1969"/>
      <c r="P96" s="4758">
        <v>1</v>
      </c>
      <c r="Q96" s="1970"/>
      <c r="R96" s="1994"/>
      <c r="S96" s="1972" t="str">
        <f>$I96</f>
        <v>3.1.1.1</v>
      </c>
      <c r="T96" s="2053" t="s">
        <v>621</v>
      </c>
      <c r="U96" s="1974"/>
      <c r="V96" s="4818"/>
      <c r="W96" s="4819"/>
      <c r="X96" s="4819"/>
      <c r="Y96" s="4819"/>
      <c r="Z96" s="4819"/>
      <c r="AA96" s="4819"/>
      <c r="AB96" s="4820"/>
      <c r="AC96" s="4821"/>
      <c r="AD96" s="4822"/>
      <c r="AE96" s="4822"/>
      <c r="AF96" s="4822"/>
      <c r="AG96" s="4822"/>
      <c r="AH96" s="4822"/>
      <c r="AI96" s="4822"/>
      <c r="AJ96" s="4823"/>
      <c r="AK96" s="2013" t="s">
        <v>622</v>
      </c>
      <c r="AL96" s="1978"/>
      <c r="AM96" s="1979"/>
      <c r="AN96" s="1979" t="str">
        <f t="shared" si="1"/>
        <v>Наименование признака дифференциации</v>
      </c>
      <c r="AO96" s="1979"/>
      <c r="AP96" s="1979"/>
    </row>
    <row r="97" spans="1:42" s="2182" customFormat="1" ht="23.25" customHeight="1">
      <c r="A97" s="1967"/>
      <c r="B97" s="1967"/>
      <c r="C97" s="1967"/>
      <c r="D97" s="1967"/>
      <c r="E97" s="4760" t="s">
        <v>101</v>
      </c>
      <c r="F97" s="4760"/>
      <c r="G97" s="4760"/>
      <c r="H97" s="4760"/>
      <c r="I97" s="4780"/>
      <c r="J97" s="4757" t="str">
        <f>I96&amp;".1"</f>
        <v>3.1.1.1.1</v>
      </c>
      <c r="K97" s="1967"/>
      <c r="L97" s="1968" t="s">
        <v>547</v>
      </c>
      <c r="M97" s="1969"/>
      <c r="N97" s="1969"/>
      <c r="O97" s="1969"/>
      <c r="P97" s="4758"/>
      <c r="Q97" s="4758">
        <v>1</v>
      </c>
      <c r="R97" s="1981"/>
      <c r="S97" s="1972" t="str">
        <f>$J97</f>
        <v>3.1.1.1.1</v>
      </c>
      <c r="T97" s="1987" t="s">
        <v>548</v>
      </c>
      <c r="U97" s="1974"/>
      <c r="V97" s="4748"/>
      <c r="W97" s="4749"/>
      <c r="X97" s="4749"/>
      <c r="Y97" s="4749"/>
      <c r="Z97" s="4749"/>
      <c r="AA97" s="4749"/>
      <c r="AB97" s="4750"/>
      <c r="AC97" s="4748" t="s">
        <v>657</v>
      </c>
      <c r="AD97" s="4749"/>
      <c r="AE97" s="4749"/>
      <c r="AF97" s="4749"/>
      <c r="AG97" s="4749"/>
      <c r="AH97" s="4749"/>
      <c r="AI97" s="4749"/>
      <c r="AJ97" s="4750"/>
      <c r="AK97" s="1988" t="s">
        <v>623</v>
      </c>
      <c r="AL97" s="1978"/>
      <c r="AM97" s="1979"/>
      <c r="AN97" s="1979" t="str">
        <f t="shared" si="1"/>
        <v>Группа потребителей</v>
      </c>
      <c r="AO97" s="1979"/>
      <c r="AP97" s="1979"/>
    </row>
    <row r="98" spans="1:42" s="2183" customFormat="1" ht="23.25" customHeight="1">
      <c r="A98" s="1967"/>
      <c r="B98" s="1967"/>
      <c r="C98" s="1967"/>
      <c r="D98" s="1967"/>
      <c r="E98" s="4760" t="s">
        <v>101</v>
      </c>
      <c r="F98" s="4760"/>
      <c r="G98" s="4760"/>
      <c r="H98" s="4760"/>
      <c r="I98" s="4780"/>
      <c r="J98" s="4780"/>
      <c r="K98" s="4757" t="str">
        <f>J97&amp;".1"</f>
        <v>3.1.1.1.1.1</v>
      </c>
      <c r="L98" s="1968"/>
      <c r="M98" s="1969"/>
      <c r="N98" s="1969"/>
      <c r="O98" s="1969"/>
      <c r="P98" s="4758"/>
      <c r="Q98" s="4758"/>
      <c r="R98" s="1981">
        <v>1</v>
      </c>
      <c r="S98" s="1972" t="str">
        <f>$K98</f>
        <v>3.1.1.1.1.1</v>
      </c>
      <c r="T98" s="1973" t="s">
        <v>658</v>
      </c>
      <c r="U98" s="1974"/>
      <c r="V98" s="1975"/>
      <c r="W98" s="1975"/>
      <c r="X98" s="1976"/>
      <c r="Y98" s="4762"/>
      <c r="Z98" s="4608" t="s">
        <v>65</v>
      </c>
      <c r="AA98" s="4762"/>
      <c r="AB98" s="4608" t="s">
        <v>65</v>
      </c>
      <c r="AC98" s="1975">
        <v>59.7</v>
      </c>
      <c r="AD98" s="1975"/>
      <c r="AE98" s="1976"/>
      <c r="AF98" s="4762">
        <v>45292.436400462961</v>
      </c>
      <c r="AG98" s="4608" t="s">
        <v>65</v>
      </c>
      <c r="AH98" s="4781">
        <v>45473.43644675926</v>
      </c>
      <c r="AI98" s="4608" t="s">
        <v>65</v>
      </c>
      <c r="AJ98" s="1977"/>
      <c r="AK9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 s="1978" t="e">
        <f ca="1">STRCHECKDATE(V99:AJ99)</f>
        <v>#NAME?</v>
      </c>
      <c r="AM98" s="1979"/>
      <c r="AN98" s="1979" t="str">
        <f t="shared" si="1"/>
        <v>Население (с учетом НДС)</v>
      </c>
      <c r="AO98" s="1979"/>
      <c r="AP98" s="1979"/>
    </row>
    <row r="99" spans="1:42" s="2184" customFormat="1" ht="3.75" customHeight="1">
      <c r="A99" s="1967"/>
      <c r="B99" s="1967"/>
      <c r="C99" s="1967"/>
      <c r="D99" s="1967"/>
      <c r="E99" s="4760" t="s">
        <v>101</v>
      </c>
      <c r="F99" s="4760"/>
      <c r="G99" s="4760"/>
      <c r="H99" s="4760"/>
      <c r="I99" s="4780"/>
      <c r="J99" s="4780"/>
      <c r="K99" s="4757"/>
      <c r="L99" s="1968"/>
      <c r="M99" s="1969"/>
      <c r="N99" s="1969"/>
      <c r="O99" s="1969"/>
      <c r="P99" s="4758"/>
      <c r="Q99" s="4758"/>
      <c r="R99" s="1981"/>
      <c r="S99" s="1982"/>
      <c r="T99" s="1974"/>
      <c r="U99" s="1974"/>
      <c r="V99" s="1983"/>
      <c r="W99" s="1983"/>
      <c r="X99" s="1984" t="str">
        <f>Y98&amp;"-"&amp;AA98</f>
        <v>-</v>
      </c>
      <c r="Y99" s="4763"/>
      <c r="Z99" s="4608"/>
      <c r="AA99" s="4763"/>
      <c r="AB99" s="4608"/>
      <c r="AC99" s="1983"/>
      <c r="AD99" s="1983"/>
      <c r="AE99" s="1984" t="str">
        <f>AF98&amp;"-"&amp;AH98</f>
        <v>45292,436400463-45473,4364467593</v>
      </c>
      <c r="AF99" s="4763"/>
      <c r="AG99" s="4608"/>
      <c r="AH99" s="4782"/>
      <c r="AI99" s="4608"/>
      <c r="AJ99" s="1985"/>
      <c r="AK99" s="4817"/>
      <c r="AL99" s="1978"/>
      <c r="AM99" s="1979"/>
      <c r="AN99" s="1979" t="str">
        <f t="shared" si="1"/>
        <v/>
      </c>
      <c r="AO99" s="1979"/>
      <c r="AP99" s="1979"/>
    </row>
    <row r="100" spans="1:42" s="2185" customFormat="1" ht="23.25" customHeight="1">
      <c r="A100" s="1967"/>
      <c r="B100" s="1967"/>
      <c r="C100" s="1967"/>
      <c r="D100" s="1967"/>
      <c r="E100" s="4760"/>
      <c r="F100" s="4760"/>
      <c r="G100" s="4760"/>
      <c r="H100" s="4760"/>
      <c r="I100" s="4780"/>
      <c r="J100" s="4780"/>
      <c r="K100" s="4757" t="str">
        <f>J97&amp;".2"</f>
        <v>3.1.1.1.1.2</v>
      </c>
      <c r="L100" s="1968"/>
      <c r="M100" s="1969"/>
      <c r="N100" s="1969"/>
      <c r="O100" s="1969"/>
      <c r="P100" s="4758"/>
      <c r="Q100" s="4758"/>
      <c r="R100" s="1971" t="s">
        <v>102</v>
      </c>
      <c r="S100" s="1972" t="str">
        <f>$K100</f>
        <v>3.1.1.1.1.2</v>
      </c>
      <c r="T100" s="1973" t="s">
        <v>658</v>
      </c>
      <c r="U100" s="1974"/>
      <c r="V100" s="1975"/>
      <c r="W100" s="1975"/>
      <c r="X100" s="1976"/>
      <c r="Y100" s="4762"/>
      <c r="Z100" s="4608" t="s">
        <v>65</v>
      </c>
      <c r="AA100" s="4762"/>
      <c r="AB100" s="4608" t="s">
        <v>65</v>
      </c>
      <c r="AC100" s="1975">
        <v>65.069999999999993</v>
      </c>
      <c r="AD100" s="1975"/>
      <c r="AE100" s="1976"/>
      <c r="AF100" s="4762">
        <v>45474.43650462963</v>
      </c>
      <c r="AG100" s="4608" t="s">
        <v>65</v>
      </c>
      <c r="AH100" s="4781">
        <v>45657.436550925922</v>
      </c>
      <c r="AI100" s="4608" t="s">
        <v>65</v>
      </c>
      <c r="AJ100" s="1977"/>
      <c r="AK10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0" s="1978" t="e">
        <f ca="1">STRCHECKDATE(V101:AJ101)</f>
        <v>#NAME?</v>
      </c>
      <c r="AM100" s="1979"/>
      <c r="AN100" s="1979" t="str">
        <f t="shared" si="1"/>
        <v>Население (с учетом НДС)</v>
      </c>
      <c r="AO100" s="1979"/>
      <c r="AP100" s="1979"/>
    </row>
    <row r="101" spans="1:42" s="2186" customFormat="1" ht="3.75" customHeight="1">
      <c r="A101" s="1967"/>
      <c r="B101" s="1967"/>
      <c r="C101" s="1967"/>
      <c r="D101" s="1967"/>
      <c r="E101" s="4760"/>
      <c r="F101" s="4760"/>
      <c r="G101" s="4760"/>
      <c r="H101" s="4760"/>
      <c r="I101" s="4780"/>
      <c r="J101" s="4780"/>
      <c r="K101" s="4757" t="str">
        <f>J97&amp;".1"</f>
        <v>3.1.1.1.1.1</v>
      </c>
      <c r="L101" s="1968"/>
      <c r="M101" s="1969"/>
      <c r="N101" s="1969"/>
      <c r="O101" s="1969"/>
      <c r="P101" s="4758"/>
      <c r="Q101" s="4758"/>
      <c r="R101" s="1981"/>
      <c r="S101" s="1982"/>
      <c r="T101" s="1974"/>
      <c r="U101" s="1974"/>
      <c r="V101" s="1983"/>
      <c r="W101" s="1983"/>
      <c r="X101" s="1984" t="str">
        <f>Y100&amp;"-"&amp;AA100</f>
        <v>-</v>
      </c>
      <c r="Y101" s="4763"/>
      <c r="Z101" s="4608"/>
      <c r="AA101" s="4763"/>
      <c r="AB101" s="4608"/>
      <c r="AC101" s="1983"/>
      <c r="AD101" s="1983"/>
      <c r="AE101" s="1984" t="str">
        <f>AF100&amp;"-"&amp;AH100</f>
        <v>45474,4365046296-45657,4365509259</v>
      </c>
      <c r="AF101" s="4763"/>
      <c r="AG101" s="4608"/>
      <c r="AH101" s="4782"/>
      <c r="AI101" s="4608"/>
      <c r="AJ101" s="1985"/>
      <c r="AK101" s="4817"/>
      <c r="AL101" s="1978"/>
      <c r="AM101" s="1979"/>
      <c r="AN101" s="1979" t="str">
        <f t="shared" si="1"/>
        <v/>
      </c>
      <c r="AO101" s="1979"/>
      <c r="AP101" s="1979"/>
    </row>
    <row r="102" spans="1:42" s="2187" customFormat="1" ht="21" customHeight="1">
      <c r="A102" s="1967"/>
      <c r="B102" s="1967"/>
      <c r="C102" s="1967"/>
      <c r="D102" s="1967"/>
      <c r="E102" s="4760" t="s">
        <v>101</v>
      </c>
      <c r="F102" s="4760"/>
      <c r="G102" s="4760"/>
      <c r="H102" s="4760"/>
      <c r="I102" s="4780"/>
      <c r="J102" s="4757"/>
      <c r="K102" s="1967"/>
      <c r="L102" s="1968"/>
      <c r="M102" s="1969"/>
      <c r="N102" s="1969"/>
      <c r="O102" s="1969"/>
      <c r="P102" s="4758"/>
      <c r="Q102" s="4758"/>
      <c r="R102" s="1994"/>
      <c r="S102" s="2188"/>
      <c r="T102" s="2189" t="s">
        <v>624</v>
      </c>
      <c r="U102" s="2190"/>
      <c r="V102" s="2191"/>
      <c r="W102" s="2192"/>
      <c r="X102" s="2193"/>
      <c r="Y102" s="2194"/>
      <c r="Z102" s="2195"/>
      <c r="AA102" s="2196"/>
      <c r="AB102" s="2197"/>
      <c r="AC102" s="2198"/>
      <c r="AD102" s="2199"/>
      <c r="AE102" s="2200"/>
      <c r="AF102" s="2201"/>
      <c r="AG102" s="2202"/>
      <c r="AH102" s="2203"/>
      <c r="AI102" s="2204"/>
      <c r="AJ102" s="2205"/>
      <c r="AK102" s="2013" t="s">
        <v>625</v>
      </c>
      <c r="AL102" s="1978"/>
      <c r="AM102" s="1979"/>
      <c r="AN102" s="1979" t="str">
        <f t="shared" si="1"/>
        <v>Добавить значение признака дифференциации</v>
      </c>
      <c r="AO102" s="1979"/>
      <c r="AP102" s="1979"/>
    </row>
    <row r="103" spans="1:42" s="2206" customFormat="1" ht="23.25" customHeight="1">
      <c r="A103" s="1967"/>
      <c r="B103" s="1967"/>
      <c r="C103" s="1967"/>
      <c r="D103" s="1967"/>
      <c r="E103" s="4760"/>
      <c r="F103" s="4760"/>
      <c r="G103" s="4760"/>
      <c r="H103" s="4760"/>
      <c r="I103" s="4780"/>
      <c r="J103" s="4757" t="str">
        <f>I96&amp;".2"</f>
        <v>3.1.1.1.2</v>
      </c>
      <c r="K103" s="1967"/>
      <c r="L103" s="1968" t="s">
        <v>547</v>
      </c>
      <c r="M103" s="1969"/>
      <c r="N103" s="1969"/>
      <c r="O103" s="1969"/>
      <c r="P103" s="4758"/>
      <c r="Q103" s="4833" t="s">
        <v>102</v>
      </c>
      <c r="R103" s="1981"/>
      <c r="S103" s="1972" t="str">
        <f>$J103</f>
        <v>3.1.1.1.2</v>
      </c>
      <c r="T103" s="1987" t="s">
        <v>548</v>
      </c>
      <c r="U103" s="1974"/>
      <c r="V103" s="4748"/>
      <c r="W103" s="4749"/>
      <c r="X103" s="4749"/>
      <c r="Y103" s="4749"/>
      <c r="Z103" s="4749"/>
      <c r="AA103" s="4749"/>
      <c r="AB103" s="4750"/>
      <c r="AC103" s="4748" t="s">
        <v>659</v>
      </c>
      <c r="AD103" s="4749"/>
      <c r="AE103" s="4749"/>
      <c r="AF103" s="4749"/>
      <c r="AG103" s="4749"/>
      <c r="AH103" s="4749"/>
      <c r="AI103" s="4749"/>
      <c r="AJ103" s="4750"/>
      <c r="AK103" s="1988" t="s">
        <v>623</v>
      </c>
      <c r="AL103" s="1978"/>
      <c r="AM103" s="1979"/>
      <c r="AN103" s="1979" t="str">
        <f t="shared" si="1"/>
        <v>Группа потребителей</v>
      </c>
      <c r="AO103" s="1979"/>
      <c r="AP103" s="1979"/>
    </row>
    <row r="104" spans="1:42" s="2207" customFormat="1" ht="23.25" customHeight="1">
      <c r="A104" s="1967"/>
      <c r="B104" s="1967"/>
      <c r="C104" s="1967"/>
      <c r="D104" s="1967"/>
      <c r="E104" s="4760"/>
      <c r="F104" s="4760"/>
      <c r="G104" s="4760"/>
      <c r="H104" s="4760"/>
      <c r="I104" s="4780"/>
      <c r="J104" s="4780" t="str">
        <f>I96&amp;".1"</f>
        <v>3.1.1.1.1</v>
      </c>
      <c r="K104" s="4757" t="str">
        <f>J103&amp;".1"</f>
        <v>3.1.1.1.2.1</v>
      </c>
      <c r="L104" s="1968"/>
      <c r="M104" s="1969"/>
      <c r="N104" s="1969"/>
      <c r="O104" s="1969"/>
      <c r="P104" s="4758"/>
      <c r="Q104" s="4758"/>
      <c r="R104" s="1981">
        <v>1</v>
      </c>
      <c r="S104" s="1972" t="str">
        <f>$K104</f>
        <v>3.1.1.1.2.1</v>
      </c>
      <c r="T104" s="1973" t="s">
        <v>660</v>
      </c>
      <c r="U104" s="1974"/>
      <c r="V104" s="1975"/>
      <c r="W104" s="1975"/>
      <c r="X104" s="1976"/>
      <c r="Y104" s="4762"/>
      <c r="Z104" s="4608" t="s">
        <v>65</v>
      </c>
      <c r="AA104" s="4762"/>
      <c r="AB104" s="4608" t="s">
        <v>65</v>
      </c>
      <c r="AC104" s="1975">
        <v>86.08</v>
      </c>
      <c r="AD104" s="1975"/>
      <c r="AE104" s="1976"/>
      <c r="AF104" s="4762">
        <v>45292.437604166669</v>
      </c>
      <c r="AG104" s="4608" t="s">
        <v>65</v>
      </c>
      <c r="AH104" s="4781">
        <v>45473.437662037039</v>
      </c>
      <c r="AI104" s="4608" t="s">
        <v>65</v>
      </c>
      <c r="AJ104" s="1977"/>
      <c r="AK10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 s="1978" t="e">
        <f ca="1">STRCHECKDATE(V105:AJ105)</f>
        <v>#NAME?</v>
      </c>
      <c r="AM104" s="1979"/>
      <c r="AN104" s="1979" t="str">
        <f t="shared" si="1"/>
        <v>Потребители, кроме населения (без учета НДС)</v>
      </c>
      <c r="AO104" s="1979"/>
      <c r="AP104" s="1979"/>
    </row>
    <row r="105" spans="1:42" s="2208" customFormat="1" ht="3.75" customHeight="1">
      <c r="A105" s="1967"/>
      <c r="B105" s="1967"/>
      <c r="C105" s="1967"/>
      <c r="D105" s="1967"/>
      <c r="E105" s="4760"/>
      <c r="F105" s="4760"/>
      <c r="G105" s="4760"/>
      <c r="H105" s="4760"/>
      <c r="I105" s="4780"/>
      <c r="J105" s="4780" t="str">
        <f>I96&amp;".1"</f>
        <v>3.1.1.1.1</v>
      </c>
      <c r="K105" s="4757"/>
      <c r="L105" s="1968"/>
      <c r="M105" s="1969"/>
      <c r="N105" s="1969"/>
      <c r="O105" s="1969"/>
      <c r="P105" s="4758"/>
      <c r="Q105" s="4758"/>
      <c r="R105" s="1981"/>
      <c r="S105" s="1982"/>
      <c r="T105" s="1974"/>
      <c r="U105" s="1974"/>
      <c r="V105" s="1983"/>
      <c r="W105" s="1983"/>
      <c r="X105" s="1984" t="str">
        <f>Y104&amp;"-"&amp;AA104</f>
        <v>-</v>
      </c>
      <c r="Y105" s="4763"/>
      <c r="Z105" s="4608"/>
      <c r="AA105" s="4763"/>
      <c r="AB105" s="4608"/>
      <c r="AC105" s="1983"/>
      <c r="AD105" s="1983"/>
      <c r="AE105" s="1984" t="str">
        <f>AF104&amp;"-"&amp;AH104</f>
        <v>45292,4376041667-45473,437662037</v>
      </c>
      <c r="AF105" s="4763"/>
      <c r="AG105" s="4608"/>
      <c r="AH105" s="4782"/>
      <c r="AI105" s="4608"/>
      <c r="AJ105" s="1985"/>
      <c r="AK105" s="4817"/>
      <c r="AL105" s="1978"/>
      <c r="AM105" s="1979"/>
      <c r="AN105" s="1979" t="str">
        <f t="shared" ref="AN105:AN168" si="2">IF(T105="","",T105)</f>
        <v/>
      </c>
      <c r="AO105" s="1979"/>
      <c r="AP105" s="1979"/>
    </row>
    <row r="106" spans="1:42" s="2209" customFormat="1" ht="23.25" customHeight="1">
      <c r="A106" s="1967"/>
      <c r="B106" s="1967"/>
      <c r="C106" s="1967"/>
      <c r="D106" s="1967"/>
      <c r="E106" s="4760"/>
      <c r="F106" s="4760"/>
      <c r="G106" s="4760"/>
      <c r="H106" s="4760"/>
      <c r="I106" s="4780"/>
      <c r="J106" s="4780"/>
      <c r="K106" s="4757" t="str">
        <f>J103&amp;".2"</f>
        <v>3.1.1.1.2.2</v>
      </c>
      <c r="L106" s="1968"/>
      <c r="M106" s="1969"/>
      <c r="N106" s="1969"/>
      <c r="O106" s="1969"/>
      <c r="P106" s="4758"/>
      <c r="Q106" s="4758"/>
      <c r="R106" s="1971" t="s">
        <v>102</v>
      </c>
      <c r="S106" s="1972" t="str">
        <f>$K106</f>
        <v>3.1.1.1.2.2</v>
      </c>
      <c r="T106" s="1973" t="s">
        <v>660</v>
      </c>
      <c r="U106" s="1974"/>
      <c r="V106" s="1975"/>
      <c r="W106" s="1975"/>
      <c r="X106" s="1976"/>
      <c r="Y106" s="4762"/>
      <c r="Z106" s="4608" t="s">
        <v>65</v>
      </c>
      <c r="AA106" s="4762"/>
      <c r="AB106" s="4608" t="s">
        <v>65</v>
      </c>
      <c r="AC106" s="1975">
        <v>54.64</v>
      </c>
      <c r="AD106" s="1975"/>
      <c r="AE106" s="1976"/>
      <c r="AF106" s="4762">
        <v>45474.437708333331</v>
      </c>
      <c r="AG106" s="4608" t="s">
        <v>65</v>
      </c>
      <c r="AH106" s="4781">
        <v>45657</v>
      </c>
      <c r="AI106" s="4608" t="s">
        <v>65</v>
      </c>
      <c r="AJ106" s="1977"/>
      <c r="AK10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6" s="1978" t="e">
        <f ca="1">STRCHECKDATE(V107:AJ107)</f>
        <v>#NAME?</v>
      </c>
      <c r="AM106" s="1979"/>
      <c r="AN106" s="1979" t="str">
        <f t="shared" si="2"/>
        <v>Потребители, кроме населения (без учета НДС)</v>
      </c>
      <c r="AO106" s="1979"/>
      <c r="AP106" s="1979"/>
    </row>
    <row r="107" spans="1:42" s="2210" customFormat="1" ht="3.75" customHeight="1">
      <c r="A107" s="1967"/>
      <c r="B107" s="1967"/>
      <c r="C107" s="1967"/>
      <c r="D107" s="1967"/>
      <c r="E107" s="4760"/>
      <c r="F107" s="4760"/>
      <c r="G107" s="4760"/>
      <c r="H107" s="4760"/>
      <c r="I107" s="4780"/>
      <c r="J107" s="4780"/>
      <c r="K107" s="4757" t="str">
        <f>J103&amp;".1"</f>
        <v>3.1.1.1.2.1</v>
      </c>
      <c r="L107" s="1968"/>
      <c r="M107" s="1969"/>
      <c r="N107" s="1969"/>
      <c r="O107" s="1969"/>
      <c r="P107" s="4758"/>
      <c r="Q107" s="4758"/>
      <c r="R107" s="1981"/>
      <c r="S107" s="1982"/>
      <c r="T107" s="1974"/>
      <c r="U107" s="1974"/>
      <c r="V107" s="1983"/>
      <c r="W107" s="1983"/>
      <c r="X107" s="1984" t="str">
        <f>Y106&amp;"-"&amp;AA106</f>
        <v>-</v>
      </c>
      <c r="Y107" s="4763"/>
      <c r="Z107" s="4608"/>
      <c r="AA107" s="4763"/>
      <c r="AB107" s="4608"/>
      <c r="AC107" s="1983"/>
      <c r="AD107" s="1983"/>
      <c r="AE107" s="1984" t="str">
        <f>AF106&amp;"-"&amp;AH106</f>
        <v>45474,4377083333-45657</v>
      </c>
      <c r="AF107" s="4763"/>
      <c r="AG107" s="4608"/>
      <c r="AH107" s="4782"/>
      <c r="AI107" s="4608"/>
      <c r="AJ107" s="1985"/>
      <c r="AK107" s="4817"/>
      <c r="AL107" s="1978"/>
      <c r="AM107" s="1979"/>
      <c r="AN107" s="1979" t="str">
        <f t="shared" si="2"/>
        <v/>
      </c>
      <c r="AO107" s="1979"/>
      <c r="AP107" s="1979"/>
    </row>
    <row r="108" spans="1:42" s="2211" customFormat="1" ht="21" customHeight="1">
      <c r="A108" s="1967"/>
      <c r="B108" s="1967"/>
      <c r="C108" s="1967"/>
      <c r="D108" s="1967"/>
      <c r="E108" s="4760"/>
      <c r="F108" s="4760"/>
      <c r="G108" s="4760"/>
      <c r="H108" s="4760"/>
      <c r="I108" s="4780"/>
      <c r="J108" s="4757" t="str">
        <f>I96&amp;".1"</f>
        <v>3.1.1.1.1</v>
      </c>
      <c r="K108" s="1967"/>
      <c r="L108" s="1968"/>
      <c r="M108" s="1969"/>
      <c r="N108" s="1969"/>
      <c r="O108" s="1969"/>
      <c r="P108" s="4758"/>
      <c r="Q108" s="4758"/>
      <c r="R108" s="1994"/>
      <c r="S108" s="2212"/>
      <c r="T108" s="2213" t="s">
        <v>624</v>
      </c>
      <c r="U108" s="2214"/>
      <c r="V108" s="2215"/>
      <c r="W108" s="2216"/>
      <c r="X108" s="2217"/>
      <c r="Y108" s="2218"/>
      <c r="Z108" s="2219"/>
      <c r="AA108" s="2220"/>
      <c r="AB108" s="2221"/>
      <c r="AC108" s="2222"/>
      <c r="AD108" s="2223"/>
      <c r="AE108" s="2224"/>
      <c r="AF108" s="2225"/>
      <c r="AG108" s="2226"/>
      <c r="AH108" s="2227"/>
      <c r="AI108" s="2228"/>
      <c r="AJ108" s="2229"/>
      <c r="AK108" s="2013" t="s">
        <v>625</v>
      </c>
      <c r="AL108" s="1978"/>
      <c r="AM108" s="1979"/>
      <c r="AN108" s="1979" t="str">
        <f t="shared" si="2"/>
        <v>Добавить значение признака дифференциации</v>
      </c>
      <c r="AO108" s="1979"/>
      <c r="AP108" s="1979"/>
    </row>
    <row r="109" spans="1:42" s="2230" customFormat="1" ht="23.25" customHeight="1">
      <c r="A109" s="1967"/>
      <c r="B109" s="1967"/>
      <c r="C109" s="1967"/>
      <c r="D109" s="1967"/>
      <c r="E109" s="4760"/>
      <c r="F109" s="4760"/>
      <c r="G109" s="4760"/>
      <c r="H109" s="4760"/>
      <c r="I109" s="4780"/>
      <c r="J109" s="4757" t="str">
        <f>I96&amp;".3"</f>
        <v>3.1.1.1.3</v>
      </c>
      <c r="K109" s="1967"/>
      <c r="L109" s="1968" t="s">
        <v>547</v>
      </c>
      <c r="M109" s="1969"/>
      <c r="N109" s="1969"/>
      <c r="O109" s="1969"/>
      <c r="P109" s="4758"/>
      <c r="Q109" s="4833" t="s">
        <v>102</v>
      </c>
      <c r="R109" s="1981"/>
      <c r="S109" s="1972" t="str">
        <f>$J109</f>
        <v>3.1.1.1.3</v>
      </c>
      <c r="T109" s="1987" t="s">
        <v>548</v>
      </c>
      <c r="U109" s="1974"/>
      <c r="V109" s="4748"/>
      <c r="W109" s="4749"/>
      <c r="X109" s="4749"/>
      <c r="Y109" s="4749"/>
      <c r="Z109" s="4749"/>
      <c r="AA109" s="4749"/>
      <c r="AB109" s="4750"/>
      <c r="AC109" s="4748" t="s">
        <v>661</v>
      </c>
      <c r="AD109" s="4749"/>
      <c r="AE109" s="4749"/>
      <c r="AF109" s="4749"/>
      <c r="AG109" s="4749"/>
      <c r="AH109" s="4749"/>
      <c r="AI109" s="4749"/>
      <c r="AJ109" s="4750"/>
      <c r="AK109" s="1988" t="s">
        <v>623</v>
      </c>
      <c r="AL109" s="1978"/>
      <c r="AM109" s="1979"/>
      <c r="AN109" s="1979" t="str">
        <f t="shared" si="2"/>
        <v>Группа потребителей</v>
      </c>
      <c r="AO109" s="1979"/>
      <c r="AP109" s="1979"/>
    </row>
    <row r="110" spans="1:42" s="2231" customFormat="1" ht="23.25" customHeight="1">
      <c r="A110" s="1967"/>
      <c r="B110" s="1967"/>
      <c r="C110" s="1967"/>
      <c r="D110" s="1967"/>
      <c r="E110" s="4760"/>
      <c r="F110" s="4760"/>
      <c r="G110" s="4760"/>
      <c r="H110" s="4760"/>
      <c r="I110" s="4780"/>
      <c r="J110" s="4780" t="str">
        <f>I96&amp;".2"</f>
        <v>3.1.1.1.2</v>
      </c>
      <c r="K110" s="4757" t="str">
        <f>J109&amp;".1"</f>
        <v>3.1.1.1.3.1</v>
      </c>
      <c r="L110" s="1968"/>
      <c r="M110" s="1969"/>
      <c r="N110" s="1969"/>
      <c r="O110" s="1969"/>
      <c r="P110" s="4758"/>
      <c r="Q110" s="4758"/>
      <c r="R110" s="1981">
        <v>1</v>
      </c>
      <c r="S110" s="1972" t="str">
        <f>$K110</f>
        <v>3.1.1.1.3.1</v>
      </c>
      <c r="T110" s="1973" t="s">
        <v>660</v>
      </c>
      <c r="U110" s="1974"/>
      <c r="V110" s="1975"/>
      <c r="W110" s="1975"/>
      <c r="X110" s="1976"/>
      <c r="Y110" s="4762"/>
      <c r="Z110" s="4608" t="s">
        <v>65</v>
      </c>
      <c r="AA110" s="4762"/>
      <c r="AB110" s="4608" t="s">
        <v>65</v>
      </c>
      <c r="AC110" s="1975">
        <v>86.08</v>
      </c>
      <c r="AD110" s="1975"/>
      <c r="AE110" s="1976"/>
      <c r="AF110" s="4762">
        <v>45292</v>
      </c>
      <c r="AG110" s="4608" t="s">
        <v>65</v>
      </c>
      <c r="AH110" s="4781">
        <v>45473</v>
      </c>
      <c r="AI110" s="4608" t="s">
        <v>65</v>
      </c>
      <c r="AJ110" s="1977"/>
      <c r="AK11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 s="1978" t="e">
        <f ca="1">STRCHECKDATE(V111:AJ111)</f>
        <v>#NAME?</v>
      </c>
      <c r="AM110" s="1979"/>
      <c r="AN110" s="1979" t="str">
        <f t="shared" si="2"/>
        <v>Потребители, кроме населения (без учета НДС)</v>
      </c>
      <c r="AO110" s="1979"/>
      <c r="AP110" s="1979"/>
    </row>
    <row r="111" spans="1:42" s="2232" customFormat="1" ht="3.75" customHeight="1">
      <c r="A111" s="1967"/>
      <c r="B111" s="1967"/>
      <c r="C111" s="1967"/>
      <c r="D111" s="1967"/>
      <c r="E111" s="4760"/>
      <c r="F111" s="4760"/>
      <c r="G111" s="4760"/>
      <c r="H111" s="4760"/>
      <c r="I111" s="4780"/>
      <c r="J111" s="4780" t="str">
        <f>I96&amp;".2"</f>
        <v>3.1.1.1.2</v>
      </c>
      <c r="K111" s="4757"/>
      <c r="L111" s="1968"/>
      <c r="M111" s="1969"/>
      <c r="N111" s="1969"/>
      <c r="O111" s="1969"/>
      <c r="P111" s="4758"/>
      <c r="Q111" s="4758"/>
      <c r="R111" s="1981"/>
      <c r="S111" s="1982"/>
      <c r="T111" s="1974"/>
      <c r="U111" s="1974"/>
      <c r="V111" s="1983"/>
      <c r="W111" s="1983"/>
      <c r="X111" s="1984" t="str">
        <f>Y110&amp;"-"&amp;AA110</f>
        <v>-</v>
      </c>
      <c r="Y111" s="4763"/>
      <c r="Z111" s="4608"/>
      <c r="AA111" s="4763"/>
      <c r="AB111" s="4608"/>
      <c r="AC111" s="1983"/>
      <c r="AD111" s="1983"/>
      <c r="AE111" s="1984" t="str">
        <f>AF110&amp;"-"&amp;AH110</f>
        <v>45292-45473</v>
      </c>
      <c r="AF111" s="4763"/>
      <c r="AG111" s="4608"/>
      <c r="AH111" s="4782"/>
      <c r="AI111" s="4608"/>
      <c r="AJ111" s="1985"/>
      <c r="AK111" s="4817"/>
      <c r="AL111" s="1978"/>
      <c r="AM111" s="1979"/>
      <c r="AN111" s="1979" t="str">
        <f t="shared" si="2"/>
        <v/>
      </c>
      <c r="AO111" s="1979"/>
      <c r="AP111" s="1979"/>
    </row>
    <row r="112" spans="1:42" s="2233" customFormat="1" ht="23.25" customHeight="1">
      <c r="A112" s="1967"/>
      <c r="B112" s="1967"/>
      <c r="C112" s="1967"/>
      <c r="D112" s="1967"/>
      <c r="E112" s="4760"/>
      <c r="F112" s="4760"/>
      <c r="G112" s="4760"/>
      <c r="H112" s="4760"/>
      <c r="I112" s="4780"/>
      <c r="J112" s="4780"/>
      <c r="K112" s="4757" t="str">
        <f>J109&amp;".2"</f>
        <v>3.1.1.1.3.2</v>
      </c>
      <c r="L112" s="1968"/>
      <c r="M112" s="1969"/>
      <c r="N112" s="1969"/>
      <c r="O112" s="1969"/>
      <c r="P112" s="4758"/>
      <c r="Q112" s="4758"/>
      <c r="R112" s="1971" t="s">
        <v>102</v>
      </c>
      <c r="S112" s="1972" t="str">
        <f>$K112</f>
        <v>3.1.1.1.3.2</v>
      </c>
      <c r="T112" s="1973" t="s">
        <v>660</v>
      </c>
      <c r="U112" s="1974"/>
      <c r="V112" s="1975"/>
      <c r="W112" s="1975"/>
      <c r="X112" s="1976"/>
      <c r="Y112" s="4762"/>
      <c r="Z112" s="4608" t="s">
        <v>65</v>
      </c>
      <c r="AA112" s="4762"/>
      <c r="AB112" s="4608" t="s">
        <v>65</v>
      </c>
      <c r="AC112" s="1975">
        <v>54.64</v>
      </c>
      <c r="AD112" s="1975"/>
      <c r="AE112" s="1976"/>
      <c r="AF112" s="4762">
        <v>45474</v>
      </c>
      <c r="AG112" s="4608" t="s">
        <v>65</v>
      </c>
      <c r="AH112" s="4781">
        <v>45657</v>
      </c>
      <c r="AI112" s="4608" t="s">
        <v>65</v>
      </c>
      <c r="AJ112" s="1977"/>
      <c r="AK11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 s="1978" t="e">
        <f ca="1">STRCHECKDATE(V113:AJ113)</f>
        <v>#NAME?</v>
      </c>
      <c r="AM112" s="1979"/>
      <c r="AN112" s="1979" t="str">
        <f t="shared" si="2"/>
        <v>Потребители, кроме населения (без учета НДС)</v>
      </c>
      <c r="AO112" s="1979"/>
      <c r="AP112" s="1979"/>
    </row>
    <row r="113" spans="1:42" s="2234" customFormat="1" ht="3.75" customHeight="1">
      <c r="A113" s="1967"/>
      <c r="B113" s="1967"/>
      <c r="C113" s="1967"/>
      <c r="D113" s="1967"/>
      <c r="E113" s="4760"/>
      <c r="F113" s="4760"/>
      <c r="G113" s="4760"/>
      <c r="H113" s="4760"/>
      <c r="I113" s="4780"/>
      <c r="J113" s="4780"/>
      <c r="K113" s="4757" t="str">
        <f>J109&amp;".1"</f>
        <v>3.1.1.1.3.1</v>
      </c>
      <c r="L113" s="1968"/>
      <c r="M113" s="1969"/>
      <c r="N113" s="1969"/>
      <c r="O113" s="1969"/>
      <c r="P113" s="4758"/>
      <c r="Q113" s="4758"/>
      <c r="R113" s="1981"/>
      <c r="S113" s="1982"/>
      <c r="T113" s="1974"/>
      <c r="U113" s="1974"/>
      <c r="V113" s="1983"/>
      <c r="W113" s="1983"/>
      <c r="X113" s="1984" t="str">
        <f>Y112&amp;"-"&amp;AA112</f>
        <v>-</v>
      </c>
      <c r="Y113" s="4763"/>
      <c r="Z113" s="4608"/>
      <c r="AA113" s="4763"/>
      <c r="AB113" s="4608"/>
      <c r="AC113" s="1983"/>
      <c r="AD113" s="1983"/>
      <c r="AE113" s="1984" t="str">
        <f>AF112&amp;"-"&amp;AH112</f>
        <v>45474-45657</v>
      </c>
      <c r="AF113" s="4763"/>
      <c r="AG113" s="4608"/>
      <c r="AH113" s="4782"/>
      <c r="AI113" s="4608"/>
      <c r="AJ113" s="1985"/>
      <c r="AK113" s="4817"/>
      <c r="AL113" s="1978"/>
      <c r="AM113" s="1979"/>
      <c r="AN113" s="1979" t="str">
        <f t="shared" si="2"/>
        <v/>
      </c>
      <c r="AO113" s="1979"/>
      <c r="AP113" s="1979"/>
    </row>
    <row r="114" spans="1:42" s="2235" customFormat="1" ht="21" customHeight="1">
      <c r="A114" s="1967"/>
      <c r="B114" s="1967"/>
      <c r="C114" s="1967"/>
      <c r="D114" s="1967"/>
      <c r="E114" s="4760"/>
      <c r="F114" s="4760"/>
      <c r="G114" s="4760"/>
      <c r="H114" s="4760"/>
      <c r="I114" s="4780"/>
      <c r="J114" s="4757" t="str">
        <f>I96&amp;".2"</f>
        <v>3.1.1.1.2</v>
      </c>
      <c r="K114" s="1967"/>
      <c r="L114" s="1968"/>
      <c r="M114" s="1969"/>
      <c r="N114" s="1969"/>
      <c r="O114" s="1969"/>
      <c r="P114" s="4758"/>
      <c r="Q114" s="4758"/>
      <c r="R114" s="1994"/>
      <c r="S114" s="2236"/>
      <c r="T114" s="2237" t="s">
        <v>624</v>
      </c>
      <c r="U114" s="2238"/>
      <c r="V114" s="2239"/>
      <c r="W114" s="2240"/>
      <c r="X114" s="2241"/>
      <c r="Y114" s="2242"/>
      <c r="Z114" s="2243"/>
      <c r="AA114" s="2244"/>
      <c r="AB114" s="2245"/>
      <c r="AC114" s="2246"/>
      <c r="AD114" s="2247"/>
      <c r="AE114" s="2248"/>
      <c r="AF114" s="2249"/>
      <c r="AG114" s="2250"/>
      <c r="AH114" s="2251"/>
      <c r="AI114" s="2252"/>
      <c r="AJ114" s="2253"/>
      <c r="AK114" s="2013" t="s">
        <v>625</v>
      </c>
      <c r="AL114" s="1978"/>
      <c r="AM114" s="1979"/>
      <c r="AN114" s="1979" t="str">
        <f t="shared" si="2"/>
        <v>Добавить значение признака дифференциации</v>
      </c>
      <c r="AO114" s="1979"/>
      <c r="AP114" s="1979"/>
    </row>
    <row r="115" spans="1:42" s="2254" customFormat="1" ht="21" customHeight="1">
      <c r="A115" s="1967"/>
      <c r="B115" s="1967"/>
      <c r="C115" s="1967"/>
      <c r="D115" s="1967"/>
      <c r="E115" s="4760" t="s">
        <v>101</v>
      </c>
      <c r="F115" s="4760"/>
      <c r="G115" s="4760"/>
      <c r="H115" s="4760"/>
      <c r="I115" s="4757"/>
      <c r="J115" s="1967"/>
      <c r="K115" s="1967"/>
      <c r="L115" s="1968"/>
      <c r="M115" s="1969"/>
      <c r="N115" s="1969"/>
      <c r="O115" s="1969"/>
      <c r="P115" s="4758"/>
      <c r="Q115" s="1970"/>
      <c r="R115" s="1994"/>
      <c r="S115" s="2255"/>
      <c r="T115" s="2256" t="s">
        <v>553</v>
      </c>
      <c r="U115" s="2257"/>
      <c r="V115" s="2258"/>
      <c r="W115" s="2259"/>
      <c r="X115" s="2260"/>
      <c r="Y115" s="2261"/>
      <c r="Z115" s="2262"/>
      <c r="AA115" s="2263"/>
      <c r="AB115" s="2264"/>
      <c r="AC115" s="2265"/>
      <c r="AD115" s="2266"/>
      <c r="AE115" s="2267"/>
      <c r="AF115" s="2268"/>
      <c r="AG115" s="2269"/>
      <c r="AH115" s="2270"/>
      <c r="AI115" s="2271"/>
      <c r="AJ115" s="2272"/>
      <c r="AK115" s="2273"/>
      <c r="AL115" s="1978"/>
      <c r="AM115" s="1979"/>
      <c r="AN115" s="1979" t="str">
        <f t="shared" si="2"/>
        <v>Добавить группу потребителей</v>
      </c>
      <c r="AO115" s="1979"/>
      <c r="AP115" s="1979"/>
    </row>
    <row r="116" spans="1:42" s="2274" customFormat="1" ht="21" customHeight="1">
      <c r="A116" s="1967"/>
      <c r="B116" s="1967"/>
      <c r="C116" s="1967"/>
      <c r="D116" s="1967"/>
      <c r="E116" s="4760" t="s">
        <v>101</v>
      </c>
      <c r="F116" s="4760"/>
      <c r="G116" s="4760"/>
      <c r="H116" s="4759"/>
      <c r="I116" s="1967"/>
      <c r="J116" s="1967"/>
      <c r="K116" s="1967"/>
      <c r="L116" s="1968"/>
      <c r="M116" s="2039"/>
      <c r="N116" s="2039"/>
      <c r="O116" s="2147"/>
      <c r="P116" s="2041"/>
      <c r="Q116" s="2148"/>
      <c r="R116" s="2042"/>
      <c r="S116" s="2275"/>
      <c r="T116" s="2276" t="s">
        <v>626</v>
      </c>
      <c r="U116" s="2277"/>
      <c r="V116" s="2278"/>
      <c r="W116" s="2279"/>
      <c r="X116" s="2280"/>
      <c r="Y116" s="2281"/>
      <c r="Z116" s="2282"/>
      <c r="AA116" s="2283"/>
      <c r="AB116" s="2284"/>
      <c r="AC116" s="2285"/>
      <c r="AD116" s="2286"/>
      <c r="AE116" s="2287"/>
      <c r="AF116" s="2288"/>
      <c r="AG116" s="2289"/>
      <c r="AH116" s="2290"/>
      <c r="AI116" s="2291"/>
      <c r="AJ116" s="2292"/>
      <c r="AK116" s="2293"/>
      <c r="AL116" s="1978"/>
      <c r="AM116" s="1979"/>
      <c r="AN116" s="1979" t="str">
        <f t="shared" si="2"/>
        <v>Добавить наименование признака дифференциации</v>
      </c>
      <c r="AO116" s="1979"/>
      <c r="AP116" s="1979"/>
    </row>
    <row r="117" spans="1:42" s="2294" customFormat="1" ht="14.25" customHeight="1">
      <c r="A117" s="2169"/>
      <c r="B117" s="2169"/>
      <c r="C117" s="2169"/>
      <c r="D117" s="2169"/>
      <c r="E117" s="4760" t="s">
        <v>101</v>
      </c>
      <c r="F117" s="4759"/>
      <c r="G117" s="2169"/>
      <c r="H117" s="2169"/>
      <c r="I117" s="2169"/>
      <c r="J117" s="2169"/>
      <c r="K117" s="2169"/>
      <c r="L117" s="2170"/>
      <c r="M117" s="2171"/>
      <c r="N117" s="2171"/>
      <c r="O117" s="1978"/>
      <c r="P117" s="2172"/>
      <c r="Q117" s="2173"/>
      <c r="R117" s="2172"/>
      <c r="S117" s="2174"/>
      <c r="T117" s="2175" t="s">
        <v>316</v>
      </c>
      <c r="U117" s="2176"/>
      <c r="V117" s="2176"/>
      <c r="W117" s="2176"/>
      <c r="X117" s="2176"/>
      <c r="Y117" s="2176"/>
      <c r="Z117" s="2176"/>
      <c r="AA117" s="2176"/>
      <c r="AB117" s="2176"/>
      <c r="AC117" s="2176"/>
      <c r="AD117" s="2176"/>
      <c r="AE117" s="2176"/>
      <c r="AF117" s="2176"/>
      <c r="AG117" s="2176"/>
      <c r="AH117" s="2176"/>
      <c r="AI117" s="2176"/>
      <c r="AJ117" s="2176"/>
      <c r="AK117" s="2176"/>
      <c r="AL117" s="1978"/>
      <c r="AM117" s="1979"/>
      <c r="AN117" s="1979" t="str">
        <f t="shared" si="2"/>
        <v>Добавить централизованную систему для дифференциации</v>
      </c>
      <c r="AO117" s="1979"/>
      <c r="AP117" s="1979"/>
    </row>
    <row r="118" spans="1:42" s="2295" customFormat="1" ht="14.25" customHeight="1">
      <c r="A118" s="2169"/>
      <c r="B118" s="2169"/>
      <c r="C118" s="2169"/>
      <c r="D118" s="2169"/>
      <c r="E118" s="4759" t="s">
        <v>101</v>
      </c>
      <c r="F118" s="2169"/>
      <c r="G118" s="2169"/>
      <c r="H118" s="2169"/>
      <c r="I118" s="2169"/>
      <c r="J118" s="2169"/>
      <c r="K118" s="2169"/>
      <c r="L118" s="2170"/>
      <c r="M118" s="2171"/>
      <c r="N118" s="2171"/>
      <c r="O118" s="1978"/>
      <c r="P118" s="2172"/>
      <c r="Q118" s="2173"/>
      <c r="R118" s="2172"/>
      <c r="S118" s="2174"/>
      <c r="T118" s="2175" t="s">
        <v>317</v>
      </c>
      <c r="U118" s="2176"/>
      <c r="V118" s="2176"/>
      <c r="W118" s="2176"/>
      <c r="X118" s="2176"/>
      <c r="Y118" s="2176"/>
      <c r="Z118" s="2176"/>
      <c r="AA118" s="2176"/>
      <c r="AB118" s="2176"/>
      <c r="AC118" s="2176"/>
      <c r="AD118" s="2176"/>
      <c r="AE118" s="2176"/>
      <c r="AF118" s="2176"/>
      <c r="AG118" s="2176"/>
      <c r="AH118" s="2176"/>
      <c r="AI118" s="2176"/>
      <c r="AJ118" s="2176"/>
      <c r="AK118" s="2176"/>
      <c r="AL118" s="1978"/>
      <c r="AM118" s="1979"/>
      <c r="AN118" s="1979" t="str">
        <f t="shared" si="2"/>
        <v>Добавить территорию для дифференциации</v>
      </c>
      <c r="AO118" s="1979"/>
      <c r="AP118" s="1979"/>
    </row>
    <row r="119" spans="1:42" s="2296" customFormat="1" ht="23.25" customHeight="1">
      <c r="A119" s="1967" t="s">
        <v>329</v>
      </c>
      <c r="B119" s="1967"/>
      <c r="C119" s="1967"/>
      <c r="D119" s="1967"/>
      <c r="E119" s="4759" t="s">
        <v>89</v>
      </c>
      <c r="F119" s="1967"/>
      <c r="G119" s="1967"/>
      <c r="H119" s="1967"/>
      <c r="I119" s="1967"/>
      <c r="J119" s="1967"/>
      <c r="K119" s="1967"/>
      <c r="L119" s="1968"/>
      <c r="M119" s="2039"/>
      <c r="N119" s="2039"/>
      <c r="O119" s="2039"/>
      <c r="P119" s="2040"/>
      <c r="Q119" s="2041"/>
      <c r="R119" s="2042"/>
      <c r="S119" s="1972" t="str">
        <f>INDEX(PT_DIFFERENTIATION_NUM_NTAR,MATCH(A119,PT_DIFFERENTIATION_NTAR_ID,0))</f>
        <v>4</v>
      </c>
      <c r="T119" s="2043" t="s">
        <v>185</v>
      </c>
      <c r="U119" s="1974"/>
      <c r="V119" s="4745"/>
      <c r="W119" s="4746"/>
      <c r="X119" s="4746"/>
      <c r="Y119" s="4746"/>
      <c r="Z119" s="4746"/>
      <c r="AA119" s="4746"/>
      <c r="AB119" s="4747"/>
      <c r="AC119" s="4745" t="str">
        <f>INDEX(PT_DIFFERENTIATION_NTAR,MATCH(A119,PT_DIFFERENTIATION_NTAR_ID,0))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AD119" s="4746"/>
      <c r="AE119" s="4746"/>
      <c r="AF119" s="4746"/>
      <c r="AG119" s="4746"/>
      <c r="AH119" s="4746"/>
      <c r="AI119" s="4746"/>
      <c r="AJ119" s="4747"/>
      <c r="AK119"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19" s="1978"/>
      <c r="AM119" s="1979"/>
      <c r="AN119" s="1979" t="str">
        <f t="shared" si="2"/>
        <v>Наименование тарифа</v>
      </c>
      <c r="AO119" s="1979"/>
      <c r="AP119" s="1979"/>
    </row>
    <row r="120" spans="1:42" s="2297" customFormat="1" ht="23.25" customHeight="1">
      <c r="A120" s="1967"/>
      <c r="B120" s="1967" t="s">
        <v>330</v>
      </c>
      <c r="C120" s="1967"/>
      <c r="D120" s="1967"/>
      <c r="E120" s="4760" t="s">
        <v>88</v>
      </c>
      <c r="F120" s="4759">
        <v>1</v>
      </c>
      <c r="G120" s="1967"/>
      <c r="H120" s="1967"/>
      <c r="I120" s="1967"/>
      <c r="J120" s="1967"/>
      <c r="K120" s="1967"/>
      <c r="L120" s="1968"/>
      <c r="M120" s="2039"/>
      <c r="N120" s="2039"/>
      <c r="O120" s="2039"/>
      <c r="P120" s="2045"/>
      <c r="Q120" s="2046"/>
      <c r="R120" s="2047"/>
      <c r="S120" s="1972" t="str">
        <f>INDEX(PT_DIFFERENTIATION_NUM_TER,MATCH(B120,PT_DIFFERENTIATION_TER_ID,0))</f>
        <v>4.1</v>
      </c>
      <c r="T120" s="2048" t="s">
        <v>538</v>
      </c>
      <c r="U120" s="1974"/>
      <c r="V120" s="4745"/>
      <c r="W120" s="4746"/>
      <c r="X120" s="4746"/>
      <c r="Y120" s="4746"/>
      <c r="Z120" s="4746"/>
      <c r="AA120" s="4746"/>
      <c r="AB120" s="4747"/>
      <c r="AC120" s="4745" t="str">
        <f>INDEX(PT_DIFFERENTIATION_TER,MATCH(B120,PT_DIFFERENTIATION_TER_ID,0))</f>
        <v>Территория 2</v>
      </c>
      <c r="AD120" s="4746"/>
      <c r="AE120" s="4746"/>
      <c r="AF120" s="4746"/>
      <c r="AG120" s="4746"/>
      <c r="AH120" s="4746"/>
      <c r="AI120" s="4746"/>
      <c r="AJ120" s="4747"/>
      <c r="AK120" s="2013" t="s">
        <v>539</v>
      </c>
      <c r="AL120" s="1978"/>
      <c r="AM120" s="1979"/>
      <c r="AN120" s="1979" t="str">
        <f t="shared" si="2"/>
        <v>Территория действия тарифа</v>
      </c>
      <c r="AO120" s="1979"/>
      <c r="AP120" s="1979"/>
    </row>
    <row r="121" spans="1:42" s="2298" customFormat="1" ht="23.25" customHeight="1">
      <c r="A121" s="1967"/>
      <c r="B121" s="1967"/>
      <c r="C121" s="1967" t="s">
        <v>331</v>
      </c>
      <c r="D121" s="1967"/>
      <c r="E121" s="4760" t="s">
        <v>88</v>
      </c>
      <c r="F121" s="4760"/>
      <c r="G121" s="4759">
        <v>1</v>
      </c>
      <c r="H121" s="1967"/>
      <c r="I121" s="1967"/>
      <c r="J121" s="1967"/>
      <c r="K121" s="1967"/>
      <c r="L121" s="1968"/>
      <c r="M121" s="2039"/>
      <c r="N121" s="2039"/>
      <c r="O121" s="2039"/>
      <c r="P121" s="2050"/>
      <c r="Q121" s="2046"/>
      <c r="R121" s="2047"/>
      <c r="S121" s="1972" t="str">
        <f>INDEX(PT_DIFFERENTIATION_NUM_CS,MATCH(C121,PT_DIFFERENTIATION_CS_ID,0))</f>
        <v>4.1.1</v>
      </c>
      <c r="T121" s="2051" t="s">
        <v>652</v>
      </c>
      <c r="U121" s="1974"/>
      <c r="V121" s="4745"/>
      <c r="W121" s="4746"/>
      <c r="X121" s="4746"/>
      <c r="Y121" s="4746"/>
      <c r="Z121" s="4746"/>
      <c r="AA121" s="4746"/>
      <c r="AB121" s="4747"/>
      <c r="AC121" s="4745" t="str">
        <f>INDEX(PT_DIFFERENTIATION_CS,MATCH(C121,PT_DIFFERENTIATION_CS_ID,0))</f>
        <v>без дифференциации</v>
      </c>
      <c r="AD121" s="4746"/>
      <c r="AE121" s="4746"/>
      <c r="AF121" s="4746"/>
      <c r="AG121" s="4746"/>
      <c r="AH121" s="4746"/>
      <c r="AI121" s="4746"/>
      <c r="AJ121" s="4747"/>
      <c r="AK121" s="2013" t="s">
        <v>653</v>
      </c>
      <c r="AL121" s="1978"/>
      <c r="AM121" s="1979"/>
      <c r="AN121" s="1979" t="str">
        <f t="shared" si="2"/>
        <v>Наименование централизованной системы водоотведения</v>
      </c>
      <c r="AO121" s="1979"/>
      <c r="AP121" s="1979"/>
    </row>
    <row r="122" spans="1:42" s="2299" customFormat="1" ht="23.25" customHeight="1">
      <c r="A122" s="1967"/>
      <c r="B122" s="1967"/>
      <c r="C122" s="1967"/>
      <c r="D122" s="1967"/>
      <c r="E122" s="4760" t="s">
        <v>88</v>
      </c>
      <c r="F122" s="4760"/>
      <c r="G122" s="4760"/>
      <c r="H122" s="4760"/>
      <c r="I122" s="4757" t="str">
        <f>S121&amp;".1"</f>
        <v>4.1.1.1</v>
      </c>
      <c r="J122" s="1967"/>
      <c r="K122" s="1967"/>
      <c r="L122" s="1968"/>
      <c r="M122" s="1969"/>
      <c r="N122" s="1969"/>
      <c r="O122" s="1969"/>
      <c r="P122" s="4758">
        <v>1</v>
      </c>
      <c r="Q122" s="1970"/>
      <c r="R122" s="1994"/>
      <c r="S122" s="1972" t="str">
        <f>$I122</f>
        <v>4.1.1.1</v>
      </c>
      <c r="T122" s="2053" t="s">
        <v>621</v>
      </c>
      <c r="U122" s="1974"/>
      <c r="V122" s="4818"/>
      <c r="W122" s="4819"/>
      <c r="X122" s="4819"/>
      <c r="Y122" s="4819"/>
      <c r="Z122" s="4819"/>
      <c r="AA122" s="4819"/>
      <c r="AB122" s="4820"/>
      <c r="AC122" s="4821"/>
      <c r="AD122" s="4822"/>
      <c r="AE122" s="4822"/>
      <c r="AF122" s="4822"/>
      <c r="AG122" s="4822"/>
      <c r="AH122" s="4822"/>
      <c r="AI122" s="4822"/>
      <c r="AJ122" s="4823"/>
      <c r="AK122" s="2013" t="s">
        <v>622</v>
      </c>
      <c r="AL122" s="1978"/>
      <c r="AM122" s="1979"/>
      <c r="AN122" s="1979" t="str">
        <f t="shared" si="2"/>
        <v>Наименование признака дифференциации</v>
      </c>
      <c r="AO122" s="1979"/>
      <c r="AP122" s="1979"/>
    </row>
    <row r="123" spans="1:42" s="2300" customFormat="1" ht="23.25" customHeight="1">
      <c r="A123" s="1967"/>
      <c r="B123" s="1967"/>
      <c r="C123" s="1967"/>
      <c r="D123" s="1967"/>
      <c r="E123" s="4760" t="s">
        <v>88</v>
      </c>
      <c r="F123" s="4760"/>
      <c r="G123" s="4760"/>
      <c r="H123" s="4760"/>
      <c r="I123" s="4780"/>
      <c r="J123" s="4757" t="str">
        <f>I122&amp;".1"</f>
        <v>4.1.1.1.1</v>
      </c>
      <c r="K123" s="1967"/>
      <c r="L123" s="1968" t="s">
        <v>547</v>
      </c>
      <c r="M123" s="1969"/>
      <c r="N123" s="1969"/>
      <c r="O123" s="1969"/>
      <c r="P123" s="4758"/>
      <c r="Q123" s="4758">
        <v>1</v>
      </c>
      <c r="R123" s="1981"/>
      <c r="S123" s="1972" t="str">
        <f>$J123</f>
        <v>4.1.1.1.1</v>
      </c>
      <c r="T123" s="1987" t="s">
        <v>548</v>
      </c>
      <c r="U123" s="1974"/>
      <c r="V123" s="4748"/>
      <c r="W123" s="4749"/>
      <c r="X123" s="4749"/>
      <c r="Y123" s="4749"/>
      <c r="Z123" s="4749"/>
      <c r="AA123" s="4749"/>
      <c r="AB123" s="4750"/>
      <c r="AC123" s="4748" t="s">
        <v>657</v>
      </c>
      <c r="AD123" s="4749"/>
      <c r="AE123" s="4749"/>
      <c r="AF123" s="4749"/>
      <c r="AG123" s="4749"/>
      <c r="AH123" s="4749"/>
      <c r="AI123" s="4749"/>
      <c r="AJ123" s="4750"/>
      <c r="AK123" s="1988" t="s">
        <v>623</v>
      </c>
      <c r="AL123" s="1978"/>
      <c r="AM123" s="1979"/>
      <c r="AN123" s="1979" t="str">
        <f t="shared" si="2"/>
        <v>Группа потребителей</v>
      </c>
      <c r="AO123" s="1979"/>
      <c r="AP123" s="1979"/>
    </row>
    <row r="124" spans="1:42" s="2301" customFormat="1" ht="23.25" customHeight="1">
      <c r="A124" s="1967"/>
      <c r="B124" s="1967"/>
      <c r="C124" s="1967"/>
      <c r="D124" s="1967"/>
      <c r="E124" s="4760" t="s">
        <v>88</v>
      </c>
      <c r="F124" s="4760"/>
      <c r="G124" s="4760"/>
      <c r="H124" s="4760"/>
      <c r="I124" s="4780"/>
      <c r="J124" s="4780"/>
      <c r="K124" s="4757" t="str">
        <f>J123&amp;".1"</f>
        <v>4.1.1.1.1.1</v>
      </c>
      <c r="L124" s="1968"/>
      <c r="M124" s="1969"/>
      <c r="N124" s="1969"/>
      <c r="O124" s="1969"/>
      <c r="P124" s="4758"/>
      <c r="Q124" s="4758"/>
      <c r="R124" s="1981">
        <v>1</v>
      </c>
      <c r="S124" s="1972" t="str">
        <f>$K124</f>
        <v>4.1.1.1.1.1</v>
      </c>
      <c r="T124" s="1973" t="s">
        <v>658</v>
      </c>
      <c r="U124" s="1974"/>
      <c r="V124" s="1975"/>
      <c r="W124" s="1975"/>
      <c r="X124" s="1976"/>
      <c r="Y124" s="4762"/>
      <c r="Z124" s="4608" t="s">
        <v>65</v>
      </c>
      <c r="AA124" s="4762"/>
      <c r="AB124" s="4608" t="s">
        <v>65</v>
      </c>
      <c r="AC124" s="1975">
        <v>25.52</v>
      </c>
      <c r="AD124" s="1975"/>
      <c r="AE124" s="1976"/>
      <c r="AF124" s="4762">
        <v>45292</v>
      </c>
      <c r="AG124" s="4608" t="s">
        <v>65</v>
      </c>
      <c r="AH124" s="4781">
        <v>45473</v>
      </c>
      <c r="AI124" s="4608" t="s">
        <v>65</v>
      </c>
      <c r="AJ124" s="1977"/>
      <c r="AK12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4" s="1978" t="e">
        <f ca="1">STRCHECKDATE(V125:AJ125)</f>
        <v>#NAME?</v>
      </c>
      <c r="AM124" s="1979"/>
      <c r="AN124" s="1979" t="str">
        <f t="shared" si="2"/>
        <v>Население (с учетом НДС)</v>
      </c>
      <c r="AO124" s="1979"/>
      <c r="AP124" s="1979"/>
    </row>
    <row r="125" spans="1:42" s="2302" customFormat="1" ht="14.25" customHeight="1">
      <c r="A125" s="1967"/>
      <c r="B125" s="1967"/>
      <c r="C125" s="1967"/>
      <c r="D125" s="1967"/>
      <c r="E125" s="4760" t="s">
        <v>88</v>
      </c>
      <c r="F125" s="4760"/>
      <c r="G125" s="4760"/>
      <c r="H125" s="4760"/>
      <c r="I125" s="4780"/>
      <c r="J125" s="4780"/>
      <c r="K125" s="4757"/>
      <c r="L125" s="1968"/>
      <c r="M125" s="1969"/>
      <c r="N125" s="1969"/>
      <c r="O125" s="1969"/>
      <c r="P125" s="4758"/>
      <c r="Q125" s="4758"/>
      <c r="R125" s="1981"/>
      <c r="S125" s="1982"/>
      <c r="T125" s="1974"/>
      <c r="U125" s="1974"/>
      <c r="V125" s="1983"/>
      <c r="W125" s="1983"/>
      <c r="X125" s="1984" t="str">
        <f>Y124&amp;"-"&amp;AA124</f>
        <v>-</v>
      </c>
      <c r="Y125" s="4763"/>
      <c r="Z125" s="4608"/>
      <c r="AA125" s="4763"/>
      <c r="AB125" s="4608"/>
      <c r="AC125" s="1983"/>
      <c r="AD125" s="1983"/>
      <c r="AE125" s="1984" t="str">
        <f>AF124&amp;"-"&amp;AH124</f>
        <v>45292-45473</v>
      </c>
      <c r="AF125" s="4763"/>
      <c r="AG125" s="4608"/>
      <c r="AH125" s="4782"/>
      <c r="AI125" s="4608"/>
      <c r="AJ125" s="1985"/>
      <c r="AK125" s="4817"/>
      <c r="AL125" s="1978"/>
      <c r="AM125" s="1979"/>
      <c r="AN125" s="1979" t="str">
        <f t="shared" si="2"/>
        <v/>
      </c>
      <c r="AO125" s="1979"/>
      <c r="AP125" s="1979"/>
    </row>
    <row r="126" spans="1:42" s="2303" customFormat="1" ht="23.25" customHeight="1">
      <c r="A126" s="1967"/>
      <c r="B126" s="1967"/>
      <c r="C126" s="1967"/>
      <c r="D126" s="1967"/>
      <c r="E126" s="4760"/>
      <c r="F126" s="4760"/>
      <c r="G126" s="4760"/>
      <c r="H126" s="4760"/>
      <c r="I126" s="4780"/>
      <c r="J126" s="4780"/>
      <c r="K126" s="4757" t="str">
        <f>J123&amp;".2"</f>
        <v>4.1.1.1.1.2</v>
      </c>
      <c r="L126" s="1968"/>
      <c r="M126" s="1969"/>
      <c r="N126" s="1969"/>
      <c r="O126" s="1969"/>
      <c r="P126" s="4758"/>
      <c r="Q126" s="4758"/>
      <c r="R126" s="1971" t="s">
        <v>102</v>
      </c>
      <c r="S126" s="1972" t="str">
        <f>$K126</f>
        <v>4.1.1.1.1.2</v>
      </c>
      <c r="T126" s="1973" t="s">
        <v>658</v>
      </c>
      <c r="U126" s="1974"/>
      <c r="V126" s="1975"/>
      <c r="W126" s="1975"/>
      <c r="X126" s="1976"/>
      <c r="Y126" s="4762"/>
      <c r="Z126" s="4608" t="s">
        <v>65</v>
      </c>
      <c r="AA126" s="4762"/>
      <c r="AB126" s="4608" t="s">
        <v>65</v>
      </c>
      <c r="AC126" s="1975">
        <v>27.81</v>
      </c>
      <c r="AD126" s="1975"/>
      <c r="AE126" s="1976"/>
      <c r="AF126" s="4762">
        <v>45474</v>
      </c>
      <c r="AG126" s="4608" t="s">
        <v>65</v>
      </c>
      <c r="AH126" s="4781">
        <v>45657</v>
      </c>
      <c r="AI126" s="4608" t="s">
        <v>65</v>
      </c>
      <c r="AJ126" s="1977"/>
      <c r="AK12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6" s="1978" t="e">
        <f ca="1">STRCHECKDATE(V127:AJ127)</f>
        <v>#NAME?</v>
      </c>
      <c r="AM126" s="1979"/>
      <c r="AN126" s="1979" t="str">
        <f t="shared" si="2"/>
        <v>Население (с учетом НДС)</v>
      </c>
      <c r="AO126" s="1979"/>
      <c r="AP126" s="1979"/>
    </row>
    <row r="127" spans="1:42" s="2304" customFormat="1" ht="14.25" customHeight="1">
      <c r="A127" s="1967"/>
      <c r="B127" s="1967"/>
      <c r="C127" s="1967"/>
      <c r="D127" s="1967"/>
      <c r="E127" s="4760"/>
      <c r="F127" s="4760"/>
      <c r="G127" s="4760"/>
      <c r="H127" s="4760"/>
      <c r="I127" s="4780"/>
      <c r="J127" s="4780"/>
      <c r="K127" s="4757" t="str">
        <f>J123&amp;".1"</f>
        <v>4.1.1.1.1.1</v>
      </c>
      <c r="L127" s="1968"/>
      <c r="M127" s="1969"/>
      <c r="N127" s="1969"/>
      <c r="O127" s="1969"/>
      <c r="P127" s="4758"/>
      <c r="Q127" s="4758"/>
      <c r="R127" s="1981"/>
      <c r="S127" s="1982"/>
      <c r="T127" s="1974"/>
      <c r="U127" s="1974"/>
      <c r="V127" s="1983"/>
      <c r="W127" s="1983"/>
      <c r="X127" s="1984" t="str">
        <f>Y126&amp;"-"&amp;AA126</f>
        <v>-</v>
      </c>
      <c r="Y127" s="4763"/>
      <c r="Z127" s="4608"/>
      <c r="AA127" s="4763"/>
      <c r="AB127" s="4608"/>
      <c r="AC127" s="1983"/>
      <c r="AD127" s="1983"/>
      <c r="AE127" s="1984" t="str">
        <f>AF126&amp;"-"&amp;AH126</f>
        <v>45474-45657</v>
      </c>
      <c r="AF127" s="4763"/>
      <c r="AG127" s="4608"/>
      <c r="AH127" s="4782"/>
      <c r="AI127" s="4608"/>
      <c r="AJ127" s="1985"/>
      <c r="AK127" s="4817"/>
      <c r="AL127" s="1978"/>
      <c r="AM127" s="1979"/>
      <c r="AN127" s="1979" t="str">
        <f t="shared" si="2"/>
        <v/>
      </c>
      <c r="AO127" s="1979"/>
      <c r="AP127" s="1979"/>
    </row>
    <row r="128" spans="1:42" s="2305" customFormat="1" ht="21" customHeight="1">
      <c r="A128" s="1967"/>
      <c r="B128" s="1967"/>
      <c r="C128" s="1967"/>
      <c r="D128" s="1967"/>
      <c r="E128" s="4760" t="s">
        <v>88</v>
      </c>
      <c r="F128" s="4760"/>
      <c r="G128" s="4760"/>
      <c r="H128" s="4760"/>
      <c r="I128" s="4780"/>
      <c r="J128" s="4757"/>
      <c r="K128" s="1967"/>
      <c r="L128" s="1968"/>
      <c r="M128" s="1969"/>
      <c r="N128" s="1969"/>
      <c r="O128" s="1969"/>
      <c r="P128" s="4758"/>
      <c r="Q128" s="4758"/>
      <c r="R128" s="1994"/>
      <c r="S128" s="2306"/>
      <c r="T128" s="2307" t="s">
        <v>624</v>
      </c>
      <c r="U128" s="2308"/>
      <c r="V128" s="2309"/>
      <c r="W128" s="2310"/>
      <c r="X128" s="2311"/>
      <c r="Y128" s="2312"/>
      <c r="Z128" s="2313"/>
      <c r="AA128" s="2314"/>
      <c r="AB128" s="2315"/>
      <c r="AC128" s="2316"/>
      <c r="AD128" s="2317"/>
      <c r="AE128" s="2318"/>
      <c r="AF128" s="2319"/>
      <c r="AG128" s="2320"/>
      <c r="AH128" s="2321"/>
      <c r="AI128" s="2322"/>
      <c r="AJ128" s="2323"/>
      <c r="AK128" s="2013" t="s">
        <v>625</v>
      </c>
      <c r="AL128" s="1978"/>
      <c r="AM128" s="1979"/>
      <c r="AN128" s="1979" t="str">
        <f t="shared" si="2"/>
        <v>Добавить значение признака дифференциации</v>
      </c>
      <c r="AO128" s="1979"/>
      <c r="AP128" s="1979"/>
    </row>
    <row r="129" spans="1:42" s="2324" customFormat="1" ht="23.25" customHeight="1">
      <c r="A129" s="1967"/>
      <c r="B129" s="1967"/>
      <c r="C129" s="1967"/>
      <c r="D129" s="1967"/>
      <c r="E129" s="4760"/>
      <c r="F129" s="4760"/>
      <c r="G129" s="4760"/>
      <c r="H129" s="4760"/>
      <c r="I129" s="4780"/>
      <c r="J129" s="4757" t="str">
        <f>I122&amp;".2"</f>
        <v>4.1.1.1.2</v>
      </c>
      <c r="K129" s="1967"/>
      <c r="L129" s="1968" t="s">
        <v>547</v>
      </c>
      <c r="M129" s="1969"/>
      <c r="N129" s="1969"/>
      <c r="O129" s="1969"/>
      <c r="P129" s="4758"/>
      <c r="Q129" s="4833" t="s">
        <v>102</v>
      </c>
      <c r="R129" s="1981"/>
      <c r="S129" s="1972" t="str">
        <f>$J129</f>
        <v>4.1.1.1.2</v>
      </c>
      <c r="T129" s="1987" t="s">
        <v>548</v>
      </c>
      <c r="U129" s="1974"/>
      <c r="V129" s="4748"/>
      <c r="W129" s="4749"/>
      <c r="X129" s="4749"/>
      <c r="Y129" s="4749"/>
      <c r="Z129" s="4749"/>
      <c r="AA129" s="4749"/>
      <c r="AB129" s="4750"/>
      <c r="AC129" s="4748" t="s">
        <v>659</v>
      </c>
      <c r="AD129" s="4749"/>
      <c r="AE129" s="4749"/>
      <c r="AF129" s="4749"/>
      <c r="AG129" s="4749"/>
      <c r="AH129" s="4749"/>
      <c r="AI129" s="4749"/>
      <c r="AJ129" s="4750"/>
      <c r="AK129" s="1988" t="s">
        <v>623</v>
      </c>
      <c r="AL129" s="1978"/>
      <c r="AM129" s="1979"/>
      <c r="AN129" s="1979" t="str">
        <f t="shared" si="2"/>
        <v>Группа потребителей</v>
      </c>
      <c r="AO129" s="1979"/>
      <c r="AP129" s="1979"/>
    </row>
    <row r="130" spans="1:42" s="2325" customFormat="1" ht="23.25" customHeight="1">
      <c r="A130" s="1967"/>
      <c r="B130" s="1967"/>
      <c r="C130" s="1967"/>
      <c r="D130" s="1967"/>
      <c r="E130" s="4760"/>
      <c r="F130" s="4760"/>
      <c r="G130" s="4760"/>
      <c r="H130" s="4760"/>
      <c r="I130" s="4780"/>
      <c r="J130" s="4780" t="str">
        <f>I122&amp;".1"</f>
        <v>4.1.1.1.1</v>
      </c>
      <c r="K130" s="4757" t="str">
        <f>J129&amp;".1"</f>
        <v>4.1.1.1.2.1</v>
      </c>
      <c r="L130" s="1968"/>
      <c r="M130" s="1969"/>
      <c r="N130" s="1969"/>
      <c r="O130" s="1969"/>
      <c r="P130" s="4758"/>
      <c r="Q130" s="4758"/>
      <c r="R130" s="1981">
        <v>1</v>
      </c>
      <c r="S130" s="1972" t="str">
        <f>$K130</f>
        <v>4.1.1.1.2.1</v>
      </c>
      <c r="T130" s="1973" t="s">
        <v>660</v>
      </c>
      <c r="U130" s="1974"/>
      <c r="V130" s="1975"/>
      <c r="W130" s="1975"/>
      <c r="X130" s="1976"/>
      <c r="Y130" s="4762"/>
      <c r="Z130" s="4608" t="s">
        <v>65</v>
      </c>
      <c r="AA130" s="4762"/>
      <c r="AB130" s="4608" t="s">
        <v>65</v>
      </c>
      <c r="AC130" s="1975">
        <v>86.08</v>
      </c>
      <c r="AD130" s="1975"/>
      <c r="AE130" s="1976"/>
      <c r="AF130" s="4762">
        <v>45292</v>
      </c>
      <c r="AG130" s="4608" t="s">
        <v>65</v>
      </c>
      <c r="AH130" s="4781">
        <v>45473</v>
      </c>
      <c r="AI130" s="4608" t="s">
        <v>65</v>
      </c>
      <c r="AJ130" s="1977"/>
      <c r="AK13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 s="1978" t="e">
        <f ca="1">STRCHECKDATE(V131:AJ131)</f>
        <v>#NAME?</v>
      </c>
      <c r="AM130" s="1979"/>
      <c r="AN130" s="1979" t="str">
        <f t="shared" si="2"/>
        <v>Потребители, кроме населения (без учета НДС)</v>
      </c>
      <c r="AO130" s="1979"/>
      <c r="AP130" s="1979"/>
    </row>
    <row r="131" spans="1:42" s="2326" customFormat="1" ht="14.25" customHeight="1">
      <c r="A131" s="1967"/>
      <c r="B131" s="1967"/>
      <c r="C131" s="1967"/>
      <c r="D131" s="1967"/>
      <c r="E131" s="4760"/>
      <c r="F131" s="4760"/>
      <c r="G131" s="4760"/>
      <c r="H131" s="4760"/>
      <c r="I131" s="4780"/>
      <c r="J131" s="4780" t="str">
        <f>I122&amp;".1"</f>
        <v>4.1.1.1.1</v>
      </c>
      <c r="K131" s="4757"/>
      <c r="L131" s="1968"/>
      <c r="M131" s="1969"/>
      <c r="N131" s="1969"/>
      <c r="O131" s="1969"/>
      <c r="P131" s="4758"/>
      <c r="Q131" s="4758"/>
      <c r="R131" s="1981"/>
      <c r="S131" s="1982"/>
      <c r="T131" s="1974"/>
      <c r="U131" s="1974"/>
      <c r="V131" s="1983"/>
      <c r="W131" s="1983"/>
      <c r="X131" s="1984" t="str">
        <f>Y130&amp;"-"&amp;AA130</f>
        <v>-</v>
      </c>
      <c r="Y131" s="4763"/>
      <c r="Z131" s="4608"/>
      <c r="AA131" s="4763"/>
      <c r="AB131" s="4608"/>
      <c r="AC131" s="1983"/>
      <c r="AD131" s="1983"/>
      <c r="AE131" s="1984" t="str">
        <f>AF130&amp;"-"&amp;AH130</f>
        <v>45292-45473</v>
      </c>
      <c r="AF131" s="4763"/>
      <c r="AG131" s="4608"/>
      <c r="AH131" s="4782"/>
      <c r="AI131" s="4608"/>
      <c r="AJ131" s="1985"/>
      <c r="AK131" s="4817"/>
      <c r="AL131" s="1978"/>
      <c r="AM131" s="1979"/>
      <c r="AN131" s="1979" t="str">
        <f t="shared" si="2"/>
        <v/>
      </c>
      <c r="AO131" s="1979"/>
      <c r="AP131" s="1979"/>
    </row>
    <row r="132" spans="1:42" s="2327" customFormat="1" ht="23.25" customHeight="1">
      <c r="A132" s="1967"/>
      <c r="B132" s="1967"/>
      <c r="C132" s="1967"/>
      <c r="D132" s="1967"/>
      <c r="E132" s="4760"/>
      <c r="F132" s="4760"/>
      <c r="G132" s="4760"/>
      <c r="H132" s="4760"/>
      <c r="I132" s="4780"/>
      <c r="J132" s="4780"/>
      <c r="K132" s="4757" t="str">
        <f>J129&amp;".2"</f>
        <v>4.1.1.1.2.2</v>
      </c>
      <c r="L132" s="1968"/>
      <c r="M132" s="1969"/>
      <c r="N132" s="1969"/>
      <c r="O132" s="1969"/>
      <c r="P132" s="4758"/>
      <c r="Q132" s="4758"/>
      <c r="R132" s="1971" t="s">
        <v>102</v>
      </c>
      <c r="S132" s="1972" t="str">
        <f>$K132</f>
        <v>4.1.1.1.2.2</v>
      </c>
      <c r="T132" s="1973" t="s">
        <v>660</v>
      </c>
      <c r="U132" s="1974"/>
      <c r="V132" s="1975"/>
      <c r="W132" s="1975"/>
      <c r="X132" s="1976"/>
      <c r="Y132" s="4762"/>
      <c r="Z132" s="4608" t="s">
        <v>65</v>
      </c>
      <c r="AA132" s="4762"/>
      <c r="AB132" s="4608" t="s">
        <v>65</v>
      </c>
      <c r="AC132" s="1975">
        <v>54.64</v>
      </c>
      <c r="AD132" s="1975"/>
      <c r="AE132" s="1976"/>
      <c r="AF132" s="4762">
        <v>45474</v>
      </c>
      <c r="AG132" s="4608" t="s">
        <v>65</v>
      </c>
      <c r="AH132" s="4781">
        <v>45657</v>
      </c>
      <c r="AI132" s="4608" t="s">
        <v>65</v>
      </c>
      <c r="AJ132" s="1977"/>
      <c r="AK13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 s="1978" t="e">
        <f ca="1">STRCHECKDATE(V133:AJ133)</f>
        <v>#NAME?</v>
      </c>
      <c r="AM132" s="1979"/>
      <c r="AN132" s="1979" t="str">
        <f t="shared" si="2"/>
        <v>Потребители, кроме населения (без учета НДС)</v>
      </c>
      <c r="AO132" s="1979"/>
      <c r="AP132" s="1979"/>
    </row>
    <row r="133" spans="1:42" s="2328" customFormat="1" ht="14.25" customHeight="1">
      <c r="A133" s="1967"/>
      <c r="B133" s="1967"/>
      <c r="C133" s="1967"/>
      <c r="D133" s="1967"/>
      <c r="E133" s="4760"/>
      <c r="F133" s="4760"/>
      <c r="G133" s="4760"/>
      <c r="H133" s="4760"/>
      <c r="I133" s="4780"/>
      <c r="J133" s="4780"/>
      <c r="K133" s="4757" t="str">
        <f>J129&amp;".1"</f>
        <v>4.1.1.1.2.1</v>
      </c>
      <c r="L133" s="1968"/>
      <c r="M133" s="1969"/>
      <c r="N133" s="1969"/>
      <c r="O133" s="1969"/>
      <c r="P133" s="4758"/>
      <c r="Q133" s="4758"/>
      <c r="R133" s="1981"/>
      <c r="S133" s="1982"/>
      <c r="T133" s="1974"/>
      <c r="U133" s="1974"/>
      <c r="V133" s="1983"/>
      <c r="W133" s="1983"/>
      <c r="X133" s="1984" t="str">
        <f>Y132&amp;"-"&amp;AA132</f>
        <v>-</v>
      </c>
      <c r="Y133" s="4763"/>
      <c r="Z133" s="4608"/>
      <c r="AA133" s="4763"/>
      <c r="AB133" s="4608"/>
      <c r="AC133" s="1983"/>
      <c r="AD133" s="1983"/>
      <c r="AE133" s="1984" t="str">
        <f>AF132&amp;"-"&amp;AH132</f>
        <v>45474-45657</v>
      </c>
      <c r="AF133" s="4763"/>
      <c r="AG133" s="4608"/>
      <c r="AH133" s="4782"/>
      <c r="AI133" s="4608"/>
      <c r="AJ133" s="1985"/>
      <c r="AK133" s="4817"/>
      <c r="AL133" s="1978"/>
      <c r="AM133" s="1979"/>
      <c r="AN133" s="1979" t="str">
        <f t="shared" si="2"/>
        <v/>
      </c>
      <c r="AO133" s="1979"/>
      <c r="AP133" s="1979"/>
    </row>
    <row r="134" spans="1:42" s="2329" customFormat="1" ht="21" customHeight="1">
      <c r="A134" s="1967"/>
      <c r="B134" s="1967"/>
      <c r="C134" s="1967"/>
      <c r="D134" s="1967"/>
      <c r="E134" s="4760"/>
      <c r="F134" s="4760"/>
      <c r="G134" s="4760"/>
      <c r="H134" s="4760"/>
      <c r="I134" s="4780"/>
      <c r="J134" s="4757" t="str">
        <f>I122&amp;".1"</f>
        <v>4.1.1.1.1</v>
      </c>
      <c r="K134" s="1967"/>
      <c r="L134" s="1968"/>
      <c r="M134" s="1969"/>
      <c r="N134" s="1969"/>
      <c r="O134" s="1969"/>
      <c r="P134" s="4758"/>
      <c r="Q134" s="4758"/>
      <c r="R134" s="1994"/>
      <c r="S134" s="2330"/>
      <c r="T134" s="2331" t="s">
        <v>624</v>
      </c>
      <c r="U134" s="2332"/>
      <c r="V134" s="2333"/>
      <c r="W134" s="2334"/>
      <c r="X134" s="2335"/>
      <c r="Y134" s="2336"/>
      <c r="Z134" s="2337"/>
      <c r="AA134" s="2338"/>
      <c r="AB134" s="2339"/>
      <c r="AC134" s="2340"/>
      <c r="AD134" s="2341"/>
      <c r="AE134" s="2342"/>
      <c r="AF134" s="2343"/>
      <c r="AG134" s="2344"/>
      <c r="AH134" s="2345"/>
      <c r="AI134" s="2346"/>
      <c r="AJ134" s="2347"/>
      <c r="AK134" s="2013" t="s">
        <v>625</v>
      </c>
      <c r="AL134" s="1978"/>
      <c r="AM134" s="1979"/>
      <c r="AN134" s="1979" t="str">
        <f t="shared" si="2"/>
        <v>Добавить значение признака дифференциации</v>
      </c>
      <c r="AO134" s="1979"/>
      <c r="AP134" s="1979"/>
    </row>
    <row r="135" spans="1:42" s="2348" customFormat="1" ht="23.25" customHeight="1">
      <c r="A135" s="1967"/>
      <c r="B135" s="1967"/>
      <c r="C135" s="1967"/>
      <c r="D135" s="1967"/>
      <c r="E135" s="4760"/>
      <c r="F135" s="4760"/>
      <c r="G135" s="4760"/>
      <c r="H135" s="4760"/>
      <c r="I135" s="4780"/>
      <c r="J135" s="4757" t="str">
        <f>I122&amp;".3"</f>
        <v>4.1.1.1.3</v>
      </c>
      <c r="K135" s="1967"/>
      <c r="L135" s="1968" t="s">
        <v>547</v>
      </c>
      <c r="M135" s="1969"/>
      <c r="N135" s="1969"/>
      <c r="O135" s="1969"/>
      <c r="P135" s="4758"/>
      <c r="Q135" s="4833" t="s">
        <v>102</v>
      </c>
      <c r="R135" s="1981"/>
      <c r="S135" s="1972" t="str">
        <f>$J135</f>
        <v>4.1.1.1.3</v>
      </c>
      <c r="T135" s="1987" t="s">
        <v>548</v>
      </c>
      <c r="U135" s="1974"/>
      <c r="V135" s="4748"/>
      <c r="W135" s="4749"/>
      <c r="X135" s="4749"/>
      <c r="Y135" s="4749"/>
      <c r="Z135" s="4749"/>
      <c r="AA135" s="4749"/>
      <c r="AB135" s="4750"/>
      <c r="AC135" s="4748" t="s">
        <v>661</v>
      </c>
      <c r="AD135" s="4749"/>
      <c r="AE135" s="4749"/>
      <c r="AF135" s="4749"/>
      <c r="AG135" s="4749"/>
      <c r="AH135" s="4749"/>
      <c r="AI135" s="4749"/>
      <c r="AJ135" s="4750"/>
      <c r="AK135" s="1988" t="s">
        <v>623</v>
      </c>
      <c r="AL135" s="1978"/>
      <c r="AM135" s="1979"/>
      <c r="AN135" s="1979" t="str">
        <f t="shared" si="2"/>
        <v>Группа потребителей</v>
      </c>
      <c r="AO135" s="1979"/>
      <c r="AP135" s="1979"/>
    </row>
    <row r="136" spans="1:42" s="2349" customFormat="1" ht="23.25" customHeight="1">
      <c r="A136" s="1967"/>
      <c r="B136" s="1967"/>
      <c r="C136" s="1967"/>
      <c r="D136" s="1967"/>
      <c r="E136" s="4760"/>
      <c r="F136" s="4760"/>
      <c r="G136" s="4760"/>
      <c r="H136" s="4760"/>
      <c r="I136" s="4780"/>
      <c r="J136" s="4780" t="str">
        <f>I122&amp;".2"</f>
        <v>4.1.1.1.2</v>
      </c>
      <c r="K136" s="4757" t="str">
        <f>J135&amp;".1"</f>
        <v>4.1.1.1.3.1</v>
      </c>
      <c r="L136" s="1968"/>
      <c r="M136" s="1969"/>
      <c r="N136" s="1969"/>
      <c r="O136" s="1969"/>
      <c r="P136" s="4758"/>
      <c r="Q136" s="4758"/>
      <c r="R136" s="1981">
        <v>1</v>
      </c>
      <c r="S136" s="1972" t="str">
        <f>$K136</f>
        <v>4.1.1.1.3.1</v>
      </c>
      <c r="T136" s="1973" t="s">
        <v>660</v>
      </c>
      <c r="U136" s="1974"/>
      <c r="V136" s="1975"/>
      <c r="W136" s="1975"/>
      <c r="X136" s="1976"/>
      <c r="Y136" s="4762"/>
      <c r="Z136" s="4608" t="s">
        <v>65</v>
      </c>
      <c r="AA136" s="4762"/>
      <c r="AB136" s="4608" t="s">
        <v>65</v>
      </c>
      <c r="AC136" s="1975">
        <v>86.08</v>
      </c>
      <c r="AD136" s="1975"/>
      <c r="AE136" s="1976"/>
      <c r="AF136" s="4762">
        <v>45292</v>
      </c>
      <c r="AG136" s="4608" t="s">
        <v>65</v>
      </c>
      <c r="AH136" s="4781">
        <v>45473</v>
      </c>
      <c r="AI136" s="4608" t="s">
        <v>65</v>
      </c>
      <c r="AJ136" s="1977"/>
      <c r="AK13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6" s="1978" t="e">
        <f ca="1">STRCHECKDATE(V137:AJ137)</f>
        <v>#NAME?</v>
      </c>
      <c r="AM136" s="1979"/>
      <c r="AN136" s="1979" t="str">
        <f t="shared" si="2"/>
        <v>Потребители, кроме населения (без учета НДС)</v>
      </c>
      <c r="AO136" s="1979"/>
      <c r="AP136" s="1979"/>
    </row>
    <row r="137" spans="1:42" s="2350" customFormat="1" ht="14.25" customHeight="1">
      <c r="A137" s="1967"/>
      <c r="B137" s="1967"/>
      <c r="C137" s="1967"/>
      <c r="D137" s="1967"/>
      <c r="E137" s="4760"/>
      <c r="F137" s="4760"/>
      <c r="G137" s="4760"/>
      <c r="H137" s="4760"/>
      <c r="I137" s="4780"/>
      <c r="J137" s="4780" t="str">
        <f>I122&amp;".2"</f>
        <v>4.1.1.1.2</v>
      </c>
      <c r="K137" s="4757"/>
      <c r="L137" s="1968"/>
      <c r="M137" s="1969"/>
      <c r="N137" s="1969"/>
      <c r="O137" s="1969"/>
      <c r="P137" s="4758"/>
      <c r="Q137" s="4758"/>
      <c r="R137" s="1981"/>
      <c r="S137" s="1982"/>
      <c r="T137" s="1974"/>
      <c r="U137" s="1974"/>
      <c r="V137" s="1983"/>
      <c r="W137" s="1983"/>
      <c r="X137" s="1984" t="str">
        <f>Y136&amp;"-"&amp;AA136</f>
        <v>-</v>
      </c>
      <c r="Y137" s="4763"/>
      <c r="Z137" s="4608"/>
      <c r="AA137" s="4763"/>
      <c r="AB137" s="4608"/>
      <c r="AC137" s="1983"/>
      <c r="AD137" s="1983"/>
      <c r="AE137" s="1984" t="str">
        <f>AF136&amp;"-"&amp;AH136</f>
        <v>45292-45473</v>
      </c>
      <c r="AF137" s="4763"/>
      <c r="AG137" s="4608"/>
      <c r="AH137" s="4782"/>
      <c r="AI137" s="4608"/>
      <c r="AJ137" s="1985"/>
      <c r="AK137" s="4817"/>
      <c r="AL137" s="1978"/>
      <c r="AM137" s="1979"/>
      <c r="AN137" s="1979" t="str">
        <f t="shared" si="2"/>
        <v/>
      </c>
      <c r="AO137" s="1979"/>
      <c r="AP137" s="1979"/>
    </row>
    <row r="138" spans="1:42" s="2351" customFormat="1" ht="23.25" customHeight="1">
      <c r="A138" s="1967"/>
      <c r="B138" s="1967"/>
      <c r="C138" s="1967"/>
      <c r="D138" s="1967"/>
      <c r="E138" s="4760"/>
      <c r="F138" s="4760"/>
      <c r="G138" s="4760"/>
      <c r="H138" s="4760"/>
      <c r="I138" s="4780"/>
      <c r="J138" s="4780"/>
      <c r="K138" s="4757" t="str">
        <f>J135&amp;".2"</f>
        <v>4.1.1.1.3.2</v>
      </c>
      <c r="L138" s="1968"/>
      <c r="M138" s="1969"/>
      <c r="N138" s="1969"/>
      <c r="O138" s="1969"/>
      <c r="P138" s="4758"/>
      <c r="Q138" s="4758"/>
      <c r="R138" s="1971" t="s">
        <v>102</v>
      </c>
      <c r="S138" s="1972" t="str">
        <f>$K138</f>
        <v>4.1.1.1.3.2</v>
      </c>
      <c r="T138" s="1973" t="s">
        <v>660</v>
      </c>
      <c r="U138" s="1974"/>
      <c r="V138" s="1975"/>
      <c r="W138" s="1975"/>
      <c r="X138" s="1976"/>
      <c r="Y138" s="4762"/>
      <c r="Z138" s="4608" t="s">
        <v>65</v>
      </c>
      <c r="AA138" s="4762"/>
      <c r="AB138" s="4608" t="s">
        <v>65</v>
      </c>
      <c r="AC138" s="1975">
        <v>54.64</v>
      </c>
      <c r="AD138" s="1975"/>
      <c r="AE138" s="1976"/>
      <c r="AF138" s="4762">
        <v>45474</v>
      </c>
      <c r="AG138" s="4608" t="s">
        <v>65</v>
      </c>
      <c r="AH138" s="4781">
        <v>45657</v>
      </c>
      <c r="AI138" s="4608" t="s">
        <v>65</v>
      </c>
      <c r="AJ138" s="1977"/>
      <c r="AK13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8" s="1978" t="e">
        <f ca="1">STRCHECKDATE(V139:AJ139)</f>
        <v>#NAME?</v>
      </c>
      <c r="AM138" s="1979"/>
      <c r="AN138" s="1979" t="str">
        <f t="shared" si="2"/>
        <v>Потребители, кроме населения (без учета НДС)</v>
      </c>
      <c r="AO138" s="1979"/>
      <c r="AP138" s="1979"/>
    </row>
    <row r="139" spans="1:42" s="2352" customFormat="1" ht="14.25" customHeight="1">
      <c r="A139" s="1967"/>
      <c r="B139" s="1967"/>
      <c r="C139" s="1967"/>
      <c r="D139" s="1967"/>
      <c r="E139" s="4760"/>
      <c r="F139" s="4760"/>
      <c r="G139" s="4760"/>
      <c r="H139" s="4760"/>
      <c r="I139" s="4780"/>
      <c r="J139" s="4780"/>
      <c r="K139" s="4757" t="str">
        <f>J135&amp;".1"</f>
        <v>4.1.1.1.3.1</v>
      </c>
      <c r="L139" s="1968"/>
      <c r="M139" s="1969"/>
      <c r="N139" s="1969"/>
      <c r="O139" s="1969"/>
      <c r="P139" s="4758"/>
      <c r="Q139" s="4758"/>
      <c r="R139" s="1981"/>
      <c r="S139" s="1982"/>
      <c r="T139" s="1974"/>
      <c r="U139" s="1974"/>
      <c r="V139" s="1983"/>
      <c r="W139" s="1983"/>
      <c r="X139" s="1984" t="str">
        <f>Y138&amp;"-"&amp;AA138</f>
        <v>-</v>
      </c>
      <c r="Y139" s="4763"/>
      <c r="Z139" s="4608"/>
      <c r="AA139" s="4763"/>
      <c r="AB139" s="4608"/>
      <c r="AC139" s="1983"/>
      <c r="AD139" s="1983"/>
      <c r="AE139" s="1984" t="str">
        <f>AF138&amp;"-"&amp;AH138</f>
        <v>45474-45657</v>
      </c>
      <c r="AF139" s="4763"/>
      <c r="AG139" s="4608"/>
      <c r="AH139" s="4782"/>
      <c r="AI139" s="4608"/>
      <c r="AJ139" s="1985"/>
      <c r="AK139" s="4817"/>
      <c r="AL139" s="1978"/>
      <c r="AM139" s="1979"/>
      <c r="AN139" s="1979" t="str">
        <f t="shared" si="2"/>
        <v/>
      </c>
      <c r="AO139" s="1979"/>
      <c r="AP139" s="1979"/>
    </row>
    <row r="140" spans="1:42" s="2353" customFormat="1" ht="21" customHeight="1">
      <c r="A140" s="1967"/>
      <c r="B140" s="1967"/>
      <c r="C140" s="1967"/>
      <c r="D140" s="1967"/>
      <c r="E140" s="4760"/>
      <c r="F140" s="4760"/>
      <c r="G140" s="4760"/>
      <c r="H140" s="4760"/>
      <c r="I140" s="4780"/>
      <c r="J140" s="4757" t="str">
        <f>I122&amp;".2"</f>
        <v>4.1.1.1.2</v>
      </c>
      <c r="K140" s="1967"/>
      <c r="L140" s="1968"/>
      <c r="M140" s="1969"/>
      <c r="N140" s="1969"/>
      <c r="O140" s="1969"/>
      <c r="P140" s="4758"/>
      <c r="Q140" s="4758"/>
      <c r="R140" s="1994"/>
      <c r="S140" s="2354"/>
      <c r="T140" s="2355" t="s">
        <v>624</v>
      </c>
      <c r="U140" s="2356"/>
      <c r="V140" s="2357"/>
      <c r="W140" s="2358"/>
      <c r="X140" s="2359"/>
      <c r="Y140" s="2360"/>
      <c r="Z140" s="2361"/>
      <c r="AA140" s="2362"/>
      <c r="AB140" s="2363"/>
      <c r="AC140" s="2364"/>
      <c r="AD140" s="2365"/>
      <c r="AE140" s="2366"/>
      <c r="AF140" s="2367"/>
      <c r="AG140" s="2368"/>
      <c r="AH140" s="2369"/>
      <c r="AI140" s="2370"/>
      <c r="AJ140" s="2371"/>
      <c r="AK140" s="2013" t="s">
        <v>625</v>
      </c>
      <c r="AL140" s="1978"/>
      <c r="AM140" s="1979"/>
      <c r="AN140" s="1979" t="str">
        <f t="shared" si="2"/>
        <v>Добавить значение признака дифференциации</v>
      </c>
      <c r="AO140" s="1979"/>
      <c r="AP140" s="1979"/>
    </row>
    <row r="141" spans="1:42" s="2372" customFormat="1" ht="21" customHeight="1">
      <c r="A141" s="1967"/>
      <c r="B141" s="1967"/>
      <c r="C141" s="1967"/>
      <c r="D141" s="1967"/>
      <c r="E141" s="4760" t="s">
        <v>88</v>
      </c>
      <c r="F141" s="4760"/>
      <c r="G141" s="4760"/>
      <c r="H141" s="4760"/>
      <c r="I141" s="4757"/>
      <c r="J141" s="1967"/>
      <c r="K141" s="1967"/>
      <c r="L141" s="1968"/>
      <c r="M141" s="1969"/>
      <c r="N141" s="1969"/>
      <c r="O141" s="1969"/>
      <c r="P141" s="4758"/>
      <c r="Q141" s="1970"/>
      <c r="R141" s="1994"/>
      <c r="S141" s="2373"/>
      <c r="T141" s="2374" t="s">
        <v>553</v>
      </c>
      <c r="U141" s="2375"/>
      <c r="V141" s="2376"/>
      <c r="W141" s="2377"/>
      <c r="X141" s="2378"/>
      <c r="Y141" s="2379"/>
      <c r="Z141" s="2380"/>
      <c r="AA141" s="2381"/>
      <c r="AB141" s="2382"/>
      <c r="AC141" s="2383"/>
      <c r="AD141" s="2384"/>
      <c r="AE141" s="2385"/>
      <c r="AF141" s="2386"/>
      <c r="AG141" s="2387"/>
      <c r="AH141" s="2388"/>
      <c r="AI141" s="2389"/>
      <c r="AJ141" s="2390"/>
      <c r="AK141" s="2391"/>
      <c r="AL141" s="1978"/>
      <c r="AM141" s="1979"/>
      <c r="AN141" s="1979" t="str">
        <f t="shared" si="2"/>
        <v>Добавить группу потребителей</v>
      </c>
      <c r="AO141" s="1979"/>
      <c r="AP141" s="1979"/>
    </row>
    <row r="142" spans="1:42" s="2392" customFormat="1" ht="21" customHeight="1">
      <c r="A142" s="1967"/>
      <c r="B142" s="1967"/>
      <c r="C142" s="1967"/>
      <c r="D142" s="1967"/>
      <c r="E142" s="4760" t="s">
        <v>88</v>
      </c>
      <c r="F142" s="4760"/>
      <c r="G142" s="4760"/>
      <c r="H142" s="4759"/>
      <c r="I142" s="1967"/>
      <c r="J142" s="1967"/>
      <c r="K142" s="1967"/>
      <c r="L142" s="1968"/>
      <c r="M142" s="2039"/>
      <c r="N142" s="2039"/>
      <c r="O142" s="2147"/>
      <c r="P142" s="2041"/>
      <c r="Q142" s="2148"/>
      <c r="R142" s="2042"/>
      <c r="S142" s="2393"/>
      <c r="T142" s="2394" t="s">
        <v>626</v>
      </c>
      <c r="U142" s="2395"/>
      <c r="V142" s="2396"/>
      <c r="W142" s="2397"/>
      <c r="X142" s="2398"/>
      <c r="Y142" s="2399"/>
      <c r="Z142" s="2400"/>
      <c r="AA142" s="2401"/>
      <c r="AB142" s="2402"/>
      <c r="AC142" s="2403"/>
      <c r="AD142" s="2404"/>
      <c r="AE142" s="2405"/>
      <c r="AF142" s="2406"/>
      <c r="AG142" s="2407"/>
      <c r="AH142" s="2408"/>
      <c r="AI142" s="2409"/>
      <c r="AJ142" s="2410"/>
      <c r="AK142" s="2411"/>
      <c r="AL142" s="1978"/>
      <c r="AM142" s="1979"/>
      <c r="AN142" s="1979" t="str">
        <f t="shared" si="2"/>
        <v>Добавить наименование признака дифференциации</v>
      </c>
      <c r="AO142" s="1979"/>
      <c r="AP142" s="1979"/>
    </row>
    <row r="143" spans="1:42" s="2412" customFormat="1" ht="14.25" customHeight="1">
      <c r="A143" s="2169"/>
      <c r="B143" s="2169"/>
      <c r="C143" s="2169"/>
      <c r="D143" s="2169"/>
      <c r="E143" s="4760" t="s">
        <v>88</v>
      </c>
      <c r="F143" s="4759"/>
      <c r="G143" s="2169"/>
      <c r="H143" s="2169"/>
      <c r="I143" s="2169"/>
      <c r="J143" s="2169"/>
      <c r="K143" s="2169"/>
      <c r="L143" s="2170"/>
      <c r="M143" s="2171"/>
      <c r="N143" s="2171"/>
      <c r="O143" s="1978"/>
      <c r="P143" s="2172"/>
      <c r="Q143" s="2173"/>
      <c r="R143" s="2172"/>
      <c r="S143" s="2174"/>
      <c r="T143" s="2175" t="s">
        <v>316</v>
      </c>
      <c r="U143" s="2176"/>
      <c r="V143" s="2176"/>
      <c r="W143" s="2176"/>
      <c r="X143" s="2176"/>
      <c r="Y143" s="2176"/>
      <c r="Z143" s="2176"/>
      <c r="AA143" s="2176"/>
      <c r="AB143" s="2176"/>
      <c r="AC143" s="2176"/>
      <c r="AD143" s="2176"/>
      <c r="AE143" s="2176"/>
      <c r="AF143" s="2176"/>
      <c r="AG143" s="2176"/>
      <c r="AH143" s="2176"/>
      <c r="AI143" s="2176"/>
      <c r="AJ143" s="2176"/>
      <c r="AK143" s="2176"/>
      <c r="AL143" s="1978"/>
      <c r="AM143" s="1979"/>
      <c r="AN143" s="1979" t="str">
        <f t="shared" si="2"/>
        <v>Добавить централизованную систему для дифференциации</v>
      </c>
      <c r="AO143" s="1979"/>
      <c r="AP143" s="1979"/>
    </row>
    <row r="144" spans="1:42" s="2413" customFormat="1" ht="14.25" customHeight="1">
      <c r="A144" s="2169"/>
      <c r="B144" s="2169"/>
      <c r="C144" s="2169"/>
      <c r="D144" s="2169"/>
      <c r="E144" s="4759" t="s">
        <v>88</v>
      </c>
      <c r="F144" s="2169"/>
      <c r="G144" s="2169"/>
      <c r="H144" s="2169"/>
      <c r="I144" s="2169"/>
      <c r="J144" s="2169"/>
      <c r="K144" s="2169"/>
      <c r="L144" s="2170"/>
      <c r="M144" s="2171"/>
      <c r="N144" s="2171"/>
      <c r="O144" s="1978"/>
      <c r="P144" s="2172"/>
      <c r="Q144" s="2173"/>
      <c r="R144" s="2172"/>
      <c r="S144" s="2174"/>
      <c r="T144" s="2175" t="s">
        <v>317</v>
      </c>
      <c r="U144" s="2176"/>
      <c r="V144" s="2176"/>
      <c r="W144" s="2176"/>
      <c r="X144" s="2176"/>
      <c r="Y144" s="2176"/>
      <c r="Z144" s="2176"/>
      <c r="AA144" s="2176"/>
      <c r="AB144" s="2176"/>
      <c r="AC144" s="2176"/>
      <c r="AD144" s="2176"/>
      <c r="AE144" s="2176"/>
      <c r="AF144" s="2176"/>
      <c r="AG144" s="2176"/>
      <c r="AH144" s="2176"/>
      <c r="AI144" s="2176"/>
      <c r="AJ144" s="2176"/>
      <c r="AK144" s="2176"/>
      <c r="AL144" s="1978"/>
      <c r="AM144" s="1979"/>
      <c r="AN144" s="1979" t="str">
        <f t="shared" si="2"/>
        <v>Добавить территорию для дифференциации</v>
      </c>
      <c r="AO144" s="1979"/>
      <c r="AP144" s="1979"/>
    </row>
    <row r="145" spans="1:42" s="2414" customFormat="1" ht="23.25" customHeight="1">
      <c r="A145" s="1967" t="s">
        <v>334</v>
      </c>
      <c r="B145" s="1967"/>
      <c r="C145" s="1967"/>
      <c r="D145" s="1967"/>
      <c r="E145" s="4759" t="s">
        <v>128</v>
      </c>
      <c r="F145" s="1967"/>
      <c r="G145" s="1967"/>
      <c r="H145" s="1967"/>
      <c r="I145" s="1967"/>
      <c r="J145" s="1967"/>
      <c r="K145" s="1967"/>
      <c r="L145" s="1968"/>
      <c r="M145" s="2039"/>
      <c r="N145" s="2039"/>
      <c r="O145" s="2039"/>
      <c r="P145" s="2040"/>
      <c r="Q145" s="2041"/>
      <c r="R145" s="2042"/>
      <c r="S145" s="1972" t="str">
        <f>INDEX(PT_DIFFERENTIATION_NUM_NTAR,MATCH(A145,PT_DIFFERENTIATION_NTAR_ID,0))</f>
        <v>5</v>
      </c>
      <c r="T145" s="2043" t="s">
        <v>185</v>
      </c>
      <c r="U145" s="1974"/>
      <c r="V145" s="4745"/>
      <c r="W145" s="4746"/>
      <c r="X145" s="4746"/>
      <c r="Y145" s="4746"/>
      <c r="Z145" s="4746"/>
      <c r="AA145" s="4746"/>
      <c r="AB145" s="4747"/>
      <c r="AC145" s="4745" t="str">
        <f>INDEX(PT_DIFFERENTIATION_NTAR,MATCH(A145,PT_DIFFERENTIATION_NTAR_ID,0))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AD145" s="4746"/>
      <c r="AE145" s="4746"/>
      <c r="AF145" s="4746"/>
      <c r="AG145" s="4746"/>
      <c r="AH145" s="4746"/>
      <c r="AI145" s="4746"/>
      <c r="AJ145" s="4747"/>
      <c r="AK145"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45" s="1978"/>
      <c r="AM145" s="1979"/>
      <c r="AN145" s="1979" t="str">
        <f t="shared" si="2"/>
        <v>Наименование тарифа</v>
      </c>
      <c r="AO145" s="1979"/>
      <c r="AP145" s="1979"/>
    </row>
    <row r="146" spans="1:42" s="2415" customFormat="1" ht="23.25" customHeight="1">
      <c r="A146" s="1967"/>
      <c r="B146" s="1967" t="s">
        <v>335</v>
      </c>
      <c r="C146" s="1967"/>
      <c r="D146" s="1967"/>
      <c r="E146" s="4760" t="s">
        <v>89</v>
      </c>
      <c r="F146" s="4759">
        <v>1</v>
      </c>
      <c r="G146" s="1967"/>
      <c r="H146" s="1967"/>
      <c r="I146" s="1967"/>
      <c r="J146" s="1967"/>
      <c r="K146" s="1967"/>
      <c r="L146" s="1968"/>
      <c r="M146" s="2039"/>
      <c r="N146" s="2039"/>
      <c r="O146" s="2039"/>
      <c r="P146" s="2045"/>
      <c r="Q146" s="2046"/>
      <c r="R146" s="2047"/>
      <c r="S146" s="1972" t="str">
        <f>INDEX(PT_DIFFERENTIATION_NUM_TER,MATCH(B146,PT_DIFFERENTIATION_TER_ID,0))</f>
        <v>5.1</v>
      </c>
      <c r="T146" s="2048" t="s">
        <v>538</v>
      </c>
      <c r="U146" s="1974"/>
      <c r="V146" s="4745"/>
      <c r="W146" s="4746"/>
      <c r="X146" s="4746"/>
      <c r="Y146" s="4746"/>
      <c r="Z146" s="4746"/>
      <c r="AA146" s="4746"/>
      <c r="AB146" s="4747"/>
      <c r="AC146" s="4745" t="str">
        <f>INDEX(PT_DIFFERENTIATION_TER,MATCH(B146,PT_DIFFERENTIATION_TER_ID,0))</f>
        <v>Территория 2</v>
      </c>
      <c r="AD146" s="4746"/>
      <c r="AE146" s="4746"/>
      <c r="AF146" s="4746"/>
      <c r="AG146" s="4746"/>
      <c r="AH146" s="4746"/>
      <c r="AI146" s="4746"/>
      <c r="AJ146" s="4747"/>
      <c r="AK146" s="2013" t="s">
        <v>539</v>
      </c>
      <c r="AL146" s="1978"/>
      <c r="AM146" s="1979"/>
      <c r="AN146" s="1979" t="str">
        <f t="shared" si="2"/>
        <v>Территория действия тарифа</v>
      </c>
      <c r="AO146" s="1979"/>
      <c r="AP146" s="1979"/>
    </row>
    <row r="147" spans="1:42" s="2416" customFormat="1" ht="23.25" customHeight="1">
      <c r="A147" s="1967"/>
      <c r="B147" s="1967"/>
      <c r="C147" s="1967" t="s">
        <v>336</v>
      </c>
      <c r="D147" s="1967"/>
      <c r="E147" s="4760" t="s">
        <v>89</v>
      </c>
      <c r="F147" s="4760"/>
      <c r="G147" s="4759">
        <v>1</v>
      </c>
      <c r="H147" s="1967"/>
      <c r="I147" s="1967"/>
      <c r="J147" s="1967"/>
      <c r="K147" s="1967"/>
      <c r="L147" s="1968"/>
      <c r="M147" s="2039"/>
      <c r="N147" s="2039"/>
      <c r="O147" s="2039"/>
      <c r="P147" s="2050"/>
      <c r="Q147" s="2046"/>
      <c r="R147" s="2047"/>
      <c r="S147" s="1972" t="str">
        <f>INDEX(PT_DIFFERENTIATION_NUM_CS,MATCH(C147,PT_DIFFERENTIATION_CS_ID,0))</f>
        <v>5.1.1</v>
      </c>
      <c r="T147" s="2051" t="s">
        <v>652</v>
      </c>
      <c r="U147" s="1974"/>
      <c r="V147" s="4745"/>
      <c r="W147" s="4746"/>
      <c r="X147" s="4746"/>
      <c r="Y147" s="4746"/>
      <c r="Z147" s="4746"/>
      <c r="AA147" s="4746"/>
      <c r="AB147" s="4747"/>
      <c r="AC147" s="4745" t="str">
        <f>INDEX(PT_DIFFERENTIATION_CS,MATCH(C147,PT_DIFFERENTIATION_CS_ID,0))</f>
        <v>без дифференциации</v>
      </c>
      <c r="AD147" s="4746"/>
      <c r="AE147" s="4746"/>
      <c r="AF147" s="4746"/>
      <c r="AG147" s="4746"/>
      <c r="AH147" s="4746"/>
      <c r="AI147" s="4746"/>
      <c r="AJ147" s="4747"/>
      <c r="AK147" s="2013" t="s">
        <v>653</v>
      </c>
      <c r="AL147" s="1978"/>
      <c r="AM147" s="1979"/>
      <c r="AN147" s="1979" t="str">
        <f t="shared" si="2"/>
        <v>Наименование централизованной системы водоотведения</v>
      </c>
      <c r="AO147" s="1979"/>
      <c r="AP147" s="1979"/>
    </row>
    <row r="148" spans="1:42" s="2417" customFormat="1" ht="23.25" customHeight="1">
      <c r="A148" s="1967"/>
      <c r="B148" s="1967"/>
      <c r="C148" s="1967"/>
      <c r="D148" s="1967"/>
      <c r="E148" s="4760" t="s">
        <v>89</v>
      </c>
      <c r="F148" s="4760"/>
      <c r="G148" s="4760"/>
      <c r="H148" s="4760"/>
      <c r="I148" s="4757" t="str">
        <f>S147&amp;".1"</f>
        <v>5.1.1.1</v>
      </c>
      <c r="J148" s="1967"/>
      <c r="K148" s="1967"/>
      <c r="L148" s="1968"/>
      <c r="M148" s="1969"/>
      <c r="N148" s="1969"/>
      <c r="O148" s="1969"/>
      <c r="P148" s="4758">
        <v>1</v>
      </c>
      <c r="Q148" s="1970"/>
      <c r="R148" s="1994"/>
      <c r="S148" s="1972" t="str">
        <f>$I148</f>
        <v>5.1.1.1</v>
      </c>
      <c r="T148" s="2053" t="s">
        <v>621</v>
      </c>
      <c r="U148" s="1974"/>
      <c r="V148" s="4818"/>
      <c r="W148" s="4819"/>
      <c r="X148" s="4819"/>
      <c r="Y148" s="4819"/>
      <c r="Z148" s="4819"/>
      <c r="AA148" s="4819"/>
      <c r="AB148" s="4820"/>
      <c r="AC148" s="4821"/>
      <c r="AD148" s="4822"/>
      <c r="AE148" s="4822"/>
      <c r="AF148" s="4822"/>
      <c r="AG148" s="4822"/>
      <c r="AH148" s="4822"/>
      <c r="AI148" s="4822"/>
      <c r="AJ148" s="4823"/>
      <c r="AK148" s="2013" t="s">
        <v>622</v>
      </c>
      <c r="AL148" s="1978"/>
      <c r="AM148" s="1979"/>
      <c r="AN148" s="1979" t="str">
        <f t="shared" si="2"/>
        <v>Наименование признака дифференциации</v>
      </c>
      <c r="AO148" s="1979"/>
      <c r="AP148" s="1979"/>
    </row>
    <row r="149" spans="1:42" s="2418" customFormat="1" ht="23.25" customHeight="1">
      <c r="A149" s="1967"/>
      <c r="B149" s="1967"/>
      <c r="C149" s="1967"/>
      <c r="D149" s="1967"/>
      <c r="E149" s="4760" t="s">
        <v>89</v>
      </c>
      <c r="F149" s="4760"/>
      <c r="G149" s="4760"/>
      <c r="H149" s="4760"/>
      <c r="I149" s="4780"/>
      <c r="J149" s="4757" t="str">
        <f>I148&amp;".1"</f>
        <v>5.1.1.1.1</v>
      </c>
      <c r="K149" s="1967"/>
      <c r="L149" s="1968" t="s">
        <v>547</v>
      </c>
      <c r="M149" s="1969"/>
      <c r="N149" s="1969"/>
      <c r="O149" s="1969"/>
      <c r="P149" s="4758"/>
      <c r="Q149" s="4758">
        <v>1</v>
      </c>
      <c r="R149" s="1981"/>
      <c r="S149" s="1972" t="str">
        <f>$J149</f>
        <v>5.1.1.1.1</v>
      </c>
      <c r="T149" s="1987" t="s">
        <v>548</v>
      </c>
      <c r="U149" s="1974"/>
      <c r="V149" s="4748"/>
      <c r="W149" s="4749"/>
      <c r="X149" s="4749"/>
      <c r="Y149" s="4749"/>
      <c r="Z149" s="4749"/>
      <c r="AA149" s="4749"/>
      <c r="AB149" s="4750"/>
      <c r="AC149" s="4748" t="s">
        <v>657</v>
      </c>
      <c r="AD149" s="4749"/>
      <c r="AE149" s="4749"/>
      <c r="AF149" s="4749"/>
      <c r="AG149" s="4749"/>
      <c r="AH149" s="4749"/>
      <c r="AI149" s="4749"/>
      <c r="AJ149" s="4750"/>
      <c r="AK149" s="1988" t="s">
        <v>623</v>
      </c>
      <c r="AL149" s="1978"/>
      <c r="AM149" s="1979"/>
      <c r="AN149" s="1979" t="str">
        <f t="shared" si="2"/>
        <v>Группа потребителей</v>
      </c>
      <c r="AO149" s="1979"/>
      <c r="AP149" s="1979"/>
    </row>
    <row r="150" spans="1:42" s="2419" customFormat="1" ht="23.25" customHeight="1">
      <c r="A150" s="1967"/>
      <c r="B150" s="1967"/>
      <c r="C150" s="1967"/>
      <c r="D150" s="1967"/>
      <c r="E150" s="4760" t="s">
        <v>89</v>
      </c>
      <c r="F150" s="4760"/>
      <c r="G150" s="4760"/>
      <c r="H150" s="4760"/>
      <c r="I150" s="4780"/>
      <c r="J150" s="4780"/>
      <c r="K150" s="4757" t="str">
        <f>J149&amp;".1"</f>
        <v>5.1.1.1.1.1</v>
      </c>
      <c r="L150" s="1968"/>
      <c r="M150" s="1969"/>
      <c r="N150" s="1969"/>
      <c r="O150" s="1969"/>
      <c r="P150" s="4758"/>
      <c r="Q150" s="4758"/>
      <c r="R150" s="1981">
        <v>1</v>
      </c>
      <c r="S150" s="1972" t="str">
        <f>$K150</f>
        <v>5.1.1.1.1.1</v>
      </c>
      <c r="T150" s="1973" t="s">
        <v>658</v>
      </c>
      <c r="U150" s="1974"/>
      <c r="V150" s="1975"/>
      <c r="W150" s="1975"/>
      <c r="X150" s="1976"/>
      <c r="Y150" s="4762"/>
      <c r="Z150" s="4608" t="s">
        <v>65</v>
      </c>
      <c r="AA150" s="4762"/>
      <c r="AB150" s="4608" t="s">
        <v>65</v>
      </c>
      <c r="AC150" s="1975">
        <v>22.3</v>
      </c>
      <c r="AD150" s="1975"/>
      <c r="AE150" s="1976"/>
      <c r="AF150" s="4762">
        <v>45292</v>
      </c>
      <c r="AG150" s="4608" t="s">
        <v>65</v>
      </c>
      <c r="AH150" s="4781">
        <v>45473</v>
      </c>
      <c r="AI150" s="4608" t="s">
        <v>65</v>
      </c>
      <c r="AJ150" s="1977"/>
      <c r="AK15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0" s="1978" t="e">
        <f ca="1">STRCHECKDATE(V151:AJ151)</f>
        <v>#NAME?</v>
      </c>
      <c r="AM150" s="1979"/>
      <c r="AN150" s="1979" t="str">
        <f t="shared" si="2"/>
        <v>Население (с учетом НДС)</v>
      </c>
      <c r="AO150" s="1979"/>
      <c r="AP150" s="1979"/>
    </row>
    <row r="151" spans="1:42" s="2420" customFormat="1" ht="3.75" customHeight="1">
      <c r="A151" s="1967"/>
      <c r="B151" s="1967"/>
      <c r="C151" s="1967"/>
      <c r="D151" s="1967"/>
      <c r="E151" s="4760" t="s">
        <v>89</v>
      </c>
      <c r="F151" s="4760"/>
      <c r="G151" s="4760"/>
      <c r="H151" s="4760"/>
      <c r="I151" s="4780"/>
      <c r="J151" s="4780"/>
      <c r="K151" s="4757"/>
      <c r="L151" s="1968"/>
      <c r="M151" s="1969"/>
      <c r="N151" s="1969"/>
      <c r="O151" s="1969"/>
      <c r="P151" s="4758"/>
      <c r="Q151" s="4758"/>
      <c r="R151" s="1981"/>
      <c r="S151" s="1982"/>
      <c r="T151" s="1974"/>
      <c r="U151" s="1974"/>
      <c r="V151" s="1983"/>
      <c r="W151" s="1983"/>
      <c r="X151" s="1984" t="str">
        <f>Y150&amp;"-"&amp;AA150</f>
        <v>-</v>
      </c>
      <c r="Y151" s="4763"/>
      <c r="Z151" s="4608"/>
      <c r="AA151" s="4763"/>
      <c r="AB151" s="4608"/>
      <c r="AC151" s="1983"/>
      <c r="AD151" s="1983"/>
      <c r="AE151" s="1984" t="str">
        <f>AF150&amp;"-"&amp;AH150</f>
        <v>45292-45473</v>
      </c>
      <c r="AF151" s="4763"/>
      <c r="AG151" s="4608"/>
      <c r="AH151" s="4782"/>
      <c r="AI151" s="4608"/>
      <c r="AJ151" s="1985"/>
      <c r="AK151" s="4817"/>
      <c r="AL151" s="1978"/>
      <c r="AM151" s="1979"/>
      <c r="AN151" s="1979" t="str">
        <f t="shared" si="2"/>
        <v/>
      </c>
      <c r="AO151" s="1979"/>
      <c r="AP151" s="1979"/>
    </row>
    <row r="152" spans="1:42" s="2421" customFormat="1" ht="23.25" customHeight="1">
      <c r="A152" s="1967"/>
      <c r="B152" s="1967"/>
      <c r="C152" s="1967"/>
      <c r="D152" s="1967"/>
      <c r="E152" s="4760"/>
      <c r="F152" s="4760"/>
      <c r="G152" s="4760"/>
      <c r="H152" s="4760"/>
      <c r="I152" s="4780"/>
      <c r="J152" s="4780"/>
      <c r="K152" s="4757" t="str">
        <f>J149&amp;".2"</f>
        <v>5.1.1.1.1.2</v>
      </c>
      <c r="L152" s="1968"/>
      <c r="M152" s="1969"/>
      <c r="N152" s="1969"/>
      <c r="O152" s="1969"/>
      <c r="P152" s="4758"/>
      <c r="Q152" s="4758"/>
      <c r="R152" s="1971" t="s">
        <v>102</v>
      </c>
      <c r="S152" s="1972" t="str">
        <f>$K152</f>
        <v>5.1.1.1.1.2</v>
      </c>
      <c r="T152" s="1973" t="s">
        <v>658</v>
      </c>
      <c r="U152" s="1974"/>
      <c r="V152" s="1975"/>
      <c r="W152" s="1975"/>
      <c r="X152" s="1976"/>
      <c r="Y152" s="4762"/>
      <c r="Z152" s="4608" t="s">
        <v>65</v>
      </c>
      <c r="AA152" s="4762"/>
      <c r="AB152" s="4608" t="s">
        <v>65</v>
      </c>
      <c r="AC152" s="1975">
        <v>24.3</v>
      </c>
      <c r="AD152" s="1975"/>
      <c r="AE152" s="1976"/>
      <c r="AF152" s="4762">
        <v>45474</v>
      </c>
      <c r="AG152" s="4608" t="s">
        <v>65</v>
      </c>
      <c r="AH152" s="4781">
        <v>45657</v>
      </c>
      <c r="AI152" s="4608" t="s">
        <v>65</v>
      </c>
      <c r="AJ152" s="1977"/>
      <c r="AK15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2" s="1978" t="e">
        <f ca="1">STRCHECKDATE(V153:AJ153)</f>
        <v>#NAME?</v>
      </c>
      <c r="AM152" s="1979"/>
      <c r="AN152" s="1979" t="str">
        <f t="shared" si="2"/>
        <v>Население (с учетом НДС)</v>
      </c>
      <c r="AO152" s="1979"/>
      <c r="AP152" s="1979"/>
    </row>
    <row r="153" spans="1:42" s="2422" customFormat="1" ht="3.75" customHeight="1">
      <c r="A153" s="1967"/>
      <c r="B153" s="1967"/>
      <c r="C153" s="1967"/>
      <c r="D153" s="1967"/>
      <c r="E153" s="4760"/>
      <c r="F153" s="4760"/>
      <c r="G153" s="4760"/>
      <c r="H153" s="4760"/>
      <c r="I153" s="4780"/>
      <c r="J153" s="4780"/>
      <c r="K153" s="4757" t="str">
        <f>J149&amp;".1"</f>
        <v>5.1.1.1.1.1</v>
      </c>
      <c r="L153" s="1968"/>
      <c r="M153" s="1969"/>
      <c r="N153" s="1969"/>
      <c r="O153" s="1969"/>
      <c r="P153" s="4758"/>
      <c r="Q153" s="4758"/>
      <c r="R153" s="1981"/>
      <c r="S153" s="1982"/>
      <c r="T153" s="1974"/>
      <c r="U153" s="1974"/>
      <c r="V153" s="1983"/>
      <c r="W153" s="1983"/>
      <c r="X153" s="1984" t="str">
        <f>Y152&amp;"-"&amp;AA152</f>
        <v>-</v>
      </c>
      <c r="Y153" s="4763"/>
      <c r="Z153" s="4608"/>
      <c r="AA153" s="4763"/>
      <c r="AB153" s="4608"/>
      <c r="AC153" s="1983"/>
      <c r="AD153" s="1983"/>
      <c r="AE153" s="1984" t="str">
        <f>AF152&amp;"-"&amp;AH152</f>
        <v>45474-45657</v>
      </c>
      <c r="AF153" s="4763"/>
      <c r="AG153" s="4608"/>
      <c r="AH153" s="4782"/>
      <c r="AI153" s="4608"/>
      <c r="AJ153" s="1985"/>
      <c r="AK153" s="4817"/>
      <c r="AL153" s="1978"/>
      <c r="AM153" s="1979"/>
      <c r="AN153" s="1979" t="str">
        <f t="shared" si="2"/>
        <v/>
      </c>
      <c r="AO153" s="1979"/>
      <c r="AP153" s="1979"/>
    </row>
    <row r="154" spans="1:42" s="2423" customFormat="1" ht="21" customHeight="1">
      <c r="A154" s="1967"/>
      <c r="B154" s="1967"/>
      <c r="C154" s="1967"/>
      <c r="D154" s="1967"/>
      <c r="E154" s="4760" t="s">
        <v>89</v>
      </c>
      <c r="F154" s="4760"/>
      <c r="G154" s="4760"/>
      <c r="H154" s="4760"/>
      <c r="I154" s="4780"/>
      <c r="J154" s="4757"/>
      <c r="K154" s="1967"/>
      <c r="L154" s="1968"/>
      <c r="M154" s="1969"/>
      <c r="N154" s="1969"/>
      <c r="O154" s="1969"/>
      <c r="P154" s="4758"/>
      <c r="Q154" s="4758"/>
      <c r="R154" s="1994"/>
      <c r="S154" s="2424"/>
      <c r="T154" s="2425" t="s">
        <v>624</v>
      </c>
      <c r="U154" s="2426"/>
      <c r="V154" s="2427"/>
      <c r="W154" s="2428"/>
      <c r="X154" s="2429"/>
      <c r="Y154" s="2430"/>
      <c r="Z154" s="2431"/>
      <c r="AA154" s="2432"/>
      <c r="AB154" s="2433"/>
      <c r="AC154" s="2434"/>
      <c r="AD154" s="2435"/>
      <c r="AE154" s="2436"/>
      <c r="AF154" s="2437"/>
      <c r="AG154" s="2438"/>
      <c r="AH154" s="2439"/>
      <c r="AI154" s="2440"/>
      <c r="AJ154" s="2441"/>
      <c r="AK154" s="2013" t="s">
        <v>625</v>
      </c>
      <c r="AL154" s="1978"/>
      <c r="AM154" s="1979"/>
      <c r="AN154" s="1979" t="str">
        <f t="shared" si="2"/>
        <v>Добавить значение признака дифференциации</v>
      </c>
      <c r="AO154" s="1979"/>
      <c r="AP154" s="1979"/>
    </row>
    <row r="155" spans="1:42" s="2442" customFormat="1" ht="23.25" customHeight="1">
      <c r="A155" s="1967"/>
      <c r="B155" s="1967"/>
      <c r="C155" s="1967"/>
      <c r="D155" s="1967"/>
      <c r="E155" s="4760"/>
      <c r="F155" s="4760"/>
      <c r="G155" s="4760"/>
      <c r="H155" s="4760"/>
      <c r="I155" s="4780"/>
      <c r="J155" s="4757" t="str">
        <f>I148&amp;".2"</f>
        <v>5.1.1.1.2</v>
      </c>
      <c r="K155" s="1967"/>
      <c r="L155" s="1968" t="s">
        <v>547</v>
      </c>
      <c r="M155" s="1969"/>
      <c r="N155" s="1969"/>
      <c r="O155" s="1969"/>
      <c r="P155" s="4758"/>
      <c r="Q155" s="4833" t="s">
        <v>102</v>
      </c>
      <c r="R155" s="1981"/>
      <c r="S155" s="1972" t="str">
        <f>$J155</f>
        <v>5.1.1.1.2</v>
      </c>
      <c r="T155" s="1987" t="s">
        <v>548</v>
      </c>
      <c r="U155" s="1974"/>
      <c r="V155" s="4748"/>
      <c r="W155" s="4749"/>
      <c r="X155" s="4749"/>
      <c r="Y155" s="4749"/>
      <c r="Z155" s="4749"/>
      <c r="AA155" s="4749"/>
      <c r="AB155" s="4750"/>
      <c r="AC155" s="4748" t="s">
        <v>659</v>
      </c>
      <c r="AD155" s="4749"/>
      <c r="AE155" s="4749"/>
      <c r="AF155" s="4749"/>
      <c r="AG155" s="4749"/>
      <c r="AH155" s="4749"/>
      <c r="AI155" s="4749"/>
      <c r="AJ155" s="4750"/>
      <c r="AK155" s="1988" t="s">
        <v>623</v>
      </c>
      <c r="AL155" s="1978"/>
      <c r="AM155" s="1979"/>
      <c r="AN155" s="1979" t="str">
        <f t="shared" si="2"/>
        <v>Группа потребителей</v>
      </c>
      <c r="AO155" s="1979"/>
      <c r="AP155" s="1979"/>
    </row>
    <row r="156" spans="1:42" s="2443" customFormat="1" ht="23.25" customHeight="1">
      <c r="A156" s="1967"/>
      <c r="B156" s="1967"/>
      <c r="C156" s="1967"/>
      <c r="D156" s="1967"/>
      <c r="E156" s="4760"/>
      <c r="F156" s="4760"/>
      <c r="G156" s="4760"/>
      <c r="H156" s="4760"/>
      <c r="I156" s="4780"/>
      <c r="J156" s="4780" t="str">
        <f>I148&amp;".1"</f>
        <v>5.1.1.1.1</v>
      </c>
      <c r="K156" s="4757" t="str">
        <f>J155&amp;".1"</f>
        <v>5.1.1.1.2.1</v>
      </c>
      <c r="L156" s="1968"/>
      <c r="M156" s="1969"/>
      <c r="N156" s="1969"/>
      <c r="O156" s="1969"/>
      <c r="P156" s="4758"/>
      <c r="Q156" s="4758"/>
      <c r="R156" s="1981">
        <v>1</v>
      </c>
      <c r="S156" s="1972" t="str">
        <f>$K156</f>
        <v>5.1.1.1.2.1</v>
      </c>
      <c r="T156" s="1973" t="s">
        <v>660</v>
      </c>
      <c r="U156" s="1974"/>
      <c r="V156" s="1975"/>
      <c r="W156" s="1975"/>
      <c r="X156" s="1976"/>
      <c r="Y156" s="4762"/>
      <c r="Z156" s="4608" t="s">
        <v>65</v>
      </c>
      <c r="AA156" s="4762"/>
      <c r="AB156" s="4608" t="s">
        <v>65</v>
      </c>
      <c r="AC156" s="1975">
        <v>86.08</v>
      </c>
      <c r="AD156" s="1975"/>
      <c r="AE156" s="1976"/>
      <c r="AF156" s="4762">
        <v>45292</v>
      </c>
      <c r="AG156" s="4608" t="s">
        <v>65</v>
      </c>
      <c r="AH156" s="4781">
        <v>45473</v>
      </c>
      <c r="AI156" s="4608" t="s">
        <v>65</v>
      </c>
      <c r="AJ156" s="1977"/>
      <c r="AK15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 s="1978" t="e">
        <f ca="1">STRCHECKDATE(V157:AJ157)</f>
        <v>#NAME?</v>
      </c>
      <c r="AM156" s="1979"/>
      <c r="AN156" s="1979" t="str">
        <f t="shared" si="2"/>
        <v>Потребители, кроме населения (без учета НДС)</v>
      </c>
      <c r="AO156" s="1979"/>
      <c r="AP156" s="1979"/>
    </row>
    <row r="157" spans="1:42" s="2444" customFormat="1" ht="3.75" customHeight="1">
      <c r="A157" s="1967"/>
      <c r="B157" s="1967"/>
      <c r="C157" s="1967"/>
      <c r="D157" s="1967"/>
      <c r="E157" s="4760"/>
      <c r="F157" s="4760"/>
      <c r="G157" s="4760"/>
      <c r="H157" s="4760"/>
      <c r="I157" s="4780"/>
      <c r="J157" s="4780" t="str">
        <f>I148&amp;".1"</f>
        <v>5.1.1.1.1</v>
      </c>
      <c r="K157" s="4757"/>
      <c r="L157" s="1968"/>
      <c r="M157" s="1969"/>
      <c r="N157" s="1969"/>
      <c r="O157" s="1969"/>
      <c r="P157" s="4758"/>
      <c r="Q157" s="4758"/>
      <c r="R157" s="1981"/>
      <c r="S157" s="1982"/>
      <c r="T157" s="1974"/>
      <c r="U157" s="1974"/>
      <c r="V157" s="1983"/>
      <c r="W157" s="1983"/>
      <c r="X157" s="1984" t="str">
        <f>Y156&amp;"-"&amp;AA156</f>
        <v>-</v>
      </c>
      <c r="Y157" s="4763"/>
      <c r="Z157" s="4608"/>
      <c r="AA157" s="4763"/>
      <c r="AB157" s="4608"/>
      <c r="AC157" s="1983"/>
      <c r="AD157" s="1983"/>
      <c r="AE157" s="1984" t="str">
        <f>AF156&amp;"-"&amp;AH156</f>
        <v>45292-45473</v>
      </c>
      <c r="AF157" s="4763"/>
      <c r="AG157" s="4608"/>
      <c r="AH157" s="4782"/>
      <c r="AI157" s="4608"/>
      <c r="AJ157" s="1985"/>
      <c r="AK157" s="4817"/>
      <c r="AL157" s="1978"/>
      <c r="AM157" s="1979"/>
      <c r="AN157" s="1979" t="str">
        <f t="shared" si="2"/>
        <v/>
      </c>
      <c r="AO157" s="1979"/>
      <c r="AP157" s="1979"/>
    </row>
    <row r="158" spans="1:42" s="2445" customFormat="1" ht="23.25" customHeight="1">
      <c r="A158" s="1967"/>
      <c r="B158" s="1967"/>
      <c r="C158" s="1967"/>
      <c r="D158" s="1967"/>
      <c r="E158" s="4760"/>
      <c r="F158" s="4760"/>
      <c r="G158" s="4760"/>
      <c r="H158" s="4760"/>
      <c r="I158" s="4780"/>
      <c r="J158" s="4780"/>
      <c r="K158" s="4757" t="str">
        <f>J155&amp;".2"</f>
        <v>5.1.1.1.2.2</v>
      </c>
      <c r="L158" s="1968"/>
      <c r="M158" s="1969"/>
      <c r="N158" s="1969"/>
      <c r="O158" s="1969"/>
      <c r="P158" s="4758"/>
      <c r="Q158" s="4758"/>
      <c r="R158" s="1971" t="s">
        <v>102</v>
      </c>
      <c r="S158" s="1972" t="str">
        <f>$K158</f>
        <v>5.1.1.1.2.2</v>
      </c>
      <c r="T158" s="1973" t="s">
        <v>660</v>
      </c>
      <c r="U158" s="1974"/>
      <c r="V158" s="1975"/>
      <c r="W158" s="1975"/>
      <c r="X158" s="1976"/>
      <c r="Y158" s="4762"/>
      <c r="Z158" s="4608" t="s">
        <v>65</v>
      </c>
      <c r="AA158" s="4762"/>
      <c r="AB158" s="4608" t="s">
        <v>65</v>
      </c>
      <c r="AC158" s="1975">
        <v>54.64</v>
      </c>
      <c r="AD158" s="1975"/>
      <c r="AE158" s="1976"/>
      <c r="AF158" s="4762">
        <v>45474</v>
      </c>
      <c r="AG158" s="4608" t="s">
        <v>65</v>
      </c>
      <c r="AH158" s="4781">
        <v>45657</v>
      </c>
      <c r="AI158" s="4608" t="s">
        <v>65</v>
      </c>
      <c r="AJ158" s="1977"/>
      <c r="AK15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 s="1978" t="e">
        <f ca="1">STRCHECKDATE(V159:AJ159)</f>
        <v>#NAME?</v>
      </c>
      <c r="AM158" s="1979"/>
      <c r="AN158" s="1979" t="str">
        <f t="shared" si="2"/>
        <v>Потребители, кроме населения (без учета НДС)</v>
      </c>
      <c r="AO158" s="1979"/>
      <c r="AP158" s="1979"/>
    </row>
    <row r="159" spans="1:42" s="2446" customFormat="1" ht="3.75" customHeight="1">
      <c r="A159" s="1967"/>
      <c r="B159" s="1967"/>
      <c r="C159" s="1967"/>
      <c r="D159" s="1967"/>
      <c r="E159" s="4760"/>
      <c r="F159" s="4760"/>
      <c r="G159" s="4760"/>
      <c r="H159" s="4760"/>
      <c r="I159" s="4780"/>
      <c r="J159" s="4780"/>
      <c r="K159" s="4757" t="str">
        <f>J155&amp;".1"</f>
        <v>5.1.1.1.2.1</v>
      </c>
      <c r="L159" s="1968"/>
      <c r="M159" s="1969"/>
      <c r="N159" s="1969"/>
      <c r="O159" s="1969"/>
      <c r="P159" s="4758"/>
      <c r="Q159" s="4758"/>
      <c r="R159" s="1981"/>
      <c r="S159" s="1982"/>
      <c r="T159" s="1974"/>
      <c r="U159" s="1974"/>
      <c r="V159" s="1983"/>
      <c r="W159" s="1983"/>
      <c r="X159" s="1984" t="str">
        <f>Y158&amp;"-"&amp;AA158</f>
        <v>-</v>
      </c>
      <c r="Y159" s="4763"/>
      <c r="Z159" s="4608"/>
      <c r="AA159" s="4763"/>
      <c r="AB159" s="4608"/>
      <c r="AC159" s="1983"/>
      <c r="AD159" s="1983"/>
      <c r="AE159" s="1984" t="str">
        <f>AF158&amp;"-"&amp;AH158</f>
        <v>45474-45657</v>
      </c>
      <c r="AF159" s="4763"/>
      <c r="AG159" s="4608"/>
      <c r="AH159" s="4782"/>
      <c r="AI159" s="4608"/>
      <c r="AJ159" s="1985"/>
      <c r="AK159" s="4817"/>
      <c r="AL159" s="1978"/>
      <c r="AM159" s="1979"/>
      <c r="AN159" s="1979" t="str">
        <f t="shared" si="2"/>
        <v/>
      </c>
      <c r="AO159" s="1979"/>
      <c r="AP159" s="1979"/>
    </row>
    <row r="160" spans="1:42" s="2447" customFormat="1" ht="21" customHeight="1">
      <c r="A160" s="1967"/>
      <c r="B160" s="1967"/>
      <c r="C160" s="1967"/>
      <c r="D160" s="1967"/>
      <c r="E160" s="4760"/>
      <c r="F160" s="4760"/>
      <c r="G160" s="4760"/>
      <c r="H160" s="4760"/>
      <c r="I160" s="4780"/>
      <c r="J160" s="4757" t="str">
        <f>I148&amp;".1"</f>
        <v>5.1.1.1.1</v>
      </c>
      <c r="K160" s="1967"/>
      <c r="L160" s="1968"/>
      <c r="M160" s="1969"/>
      <c r="N160" s="1969"/>
      <c r="O160" s="1969"/>
      <c r="P160" s="4758"/>
      <c r="Q160" s="4758"/>
      <c r="R160" s="1994"/>
      <c r="S160" s="2448"/>
      <c r="T160" s="2449" t="s">
        <v>624</v>
      </c>
      <c r="U160" s="2450"/>
      <c r="V160" s="2451"/>
      <c r="W160" s="2452"/>
      <c r="X160" s="2453"/>
      <c r="Y160" s="2454"/>
      <c r="Z160" s="2455"/>
      <c r="AA160" s="2456"/>
      <c r="AB160" s="2457"/>
      <c r="AC160" s="2458"/>
      <c r="AD160" s="2459"/>
      <c r="AE160" s="2460"/>
      <c r="AF160" s="2461"/>
      <c r="AG160" s="2462"/>
      <c r="AH160" s="2463"/>
      <c r="AI160" s="2464"/>
      <c r="AJ160" s="2465"/>
      <c r="AK160" s="2013" t="s">
        <v>625</v>
      </c>
      <c r="AL160" s="1978"/>
      <c r="AM160" s="1979"/>
      <c r="AN160" s="1979" t="str">
        <f t="shared" si="2"/>
        <v>Добавить значение признака дифференциации</v>
      </c>
      <c r="AO160" s="1979"/>
      <c r="AP160" s="1979"/>
    </row>
    <row r="161" spans="1:42" s="2466" customFormat="1" ht="23.25" customHeight="1">
      <c r="A161" s="1967"/>
      <c r="B161" s="1967"/>
      <c r="C161" s="1967"/>
      <c r="D161" s="1967"/>
      <c r="E161" s="4760"/>
      <c r="F161" s="4760"/>
      <c r="G161" s="4760"/>
      <c r="H161" s="4760"/>
      <c r="I161" s="4780"/>
      <c r="J161" s="4757" t="str">
        <f>I148&amp;".3"</f>
        <v>5.1.1.1.3</v>
      </c>
      <c r="K161" s="1967"/>
      <c r="L161" s="1968" t="s">
        <v>547</v>
      </c>
      <c r="M161" s="1969"/>
      <c r="N161" s="1969"/>
      <c r="O161" s="1969"/>
      <c r="P161" s="4758"/>
      <c r="Q161" s="4833" t="s">
        <v>102</v>
      </c>
      <c r="R161" s="1981"/>
      <c r="S161" s="1972" t="str">
        <f>$J161</f>
        <v>5.1.1.1.3</v>
      </c>
      <c r="T161" s="1987" t="s">
        <v>548</v>
      </c>
      <c r="U161" s="1974"/>
      <c r="V161" s="4748"/>
      <c r="W161" s="4749"/>
      <c r="X161" s="4749"/>
      <c r="Y161" s="4749"/>
      <c r="Z161" s="4749"/>
      <c r="AA161" s="4749"/>
      <c r="AB161" s="4750"/>
      <c r="AC161" s="4748" t="s">
        <v>661</v>
      </c>
      <c r="AD161" s="4749"/>
      <c r="AE161" s="4749"/>
      <c r="AF161" s="4749"/>
      <c r="AG161" s="4749"/>
      <c r="AH161" s="4749"/>
      <c r="AI161" s="4749"/>
      <c r="AJ161" s="4750"/>
      <c r="AK161" s="1988" t="s">
        <v>623</v>
      </c>
      <c r="AL161" s="1978"/>
      <c r="AM161" s="1979"/>
      <c r="AN161" s="1979" t="str">
        <f t="shared" si="2"/>
        <v>Группа потребителей</v>
      </c>
      <c r="AO161" s="1979"/>
      <c r="AP161" s="1979"/>
    </row>
    <row r="162" spans="1:42" s="2467" customFormat="1" ht="23.25" customHeight="1">
      <c r="A162" s="1967"/>
      <c r="B162" s="1967"/>
      <c r="C162" s="1967"/>
      <c r="D162" s="1967"/>
      <c r="E162" s="4760"/>
      <c r="F162" s="4760"/>
      <c r="G162" s="4760"/>
      <c r="H162" s="4760"/>
      <c r="I162" s="4780"/>
      <c r="J162" s="4780" t="str">
        <f>I148&amp;".2"</f>
        <v>5.1.1.1.2</v>
      </c>
      <c r="K162" s="4757" t="str">
        <f>J161&amp;".1"</f>
        <v>5.1.1.1.3.1</v>
      </c>
      <c r="L162" s="1968"/>
      <c r="M162" s="1969"/>
      <c r="N162" s="1969"/>
      <c r="O162" s="1969"/>
      <c r="P162" s="4758"/>
      <c r="Q162" s="4758"/>
      <c r="R162" s="1981">
        <v>1</v>
      </c>
      <c r="S162" s="1972" t="str">
        <f>$K162</f>
        <v>5.1.1.1.3.1</v>
      </c>
      <c r="T162" s="1973" t="s">
        <v>660</v>
      </c>
      <c r="U162" s="1974"/>
      <c r="V162" s="1975"/>
      <c r="W162" s="1975"/>
      <c r="X162" s="1976"/>
      <c r="Y162" s="4762"/>
      <c r="Z162" s="4608" t="s">
        <v>65</v>
      </c>
      <c r="AA162" s="4762"/>
      <c r="AB162" s="4608" t="s">
        <v>65</v>
      </c>
      <c r="AC162" s="1975">
        <v>86.08</v>
      </c>
      <c r="AD162" s="1975"/>
      <c r="AE162" s="1976"/>
      <c r="AF162" s="4762">
        <v>45292</v>
      </c>
      <c r="AG162" s="4608" t="s">
        <v>65</v>
      </c>
      <c r="AH162" s="4781">
        <v>45473</v>
      </c>
      <c r="AI162" s="4608" t="s">
        <v>65</v>
      </c>
      <c r="AJ162" s="1977"/>
      <c r="AK16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2" s="1978" t="e">
        <f ca="1">STRCHECKDATE(V163:AJ163)</f>
        <v>#NAME?</v>
      </c>
      <c r="AM162" s="1979"/>
      <c r="AN162" s="1979" t="str">
        <f t="shared" si="2"/>
        <v>Потребители, кроме населения (без учета НДС)</v>
      </c>
      <c r="AO162" s="1979"/>
      <c r="AP162" s="1979"/>
    </row>
    <row r="163" spans="1:42" s="2468" customFormat="1" ht="3.75" customHeight="1">
      <c r="A163" s="1967"/>
      <c r="B163" s="1967"/>
      <c r="C163" s="1967"/>
      <c r="D163" s="1967"/>
      <c r="E163" s="4760"/>
      <c r="F163" s="4760"/>
      <c r="G163" s="4760"/>
      <c r="H163" s="4760"/>
      <c r="I163" s="4780"/>
      <c r="J163" s="4780" t="str">
        <f>I148&amp;".2"</f>
        <v>5.1.1.1.2</v>
      </c>
      <c r="K163" s="4757"/>
      <c r="L163" s="1968"/>
      <c r="M163" s="1969"/>
      <c r="N163" s="1969"/>
      <c r="O163" s="1969"/>
      <c r="P163" s="4758"/>
      <c r="Q163" s="4758"/>
      <c r="R163" s="1981"/>
      <c r="S163" s="1982"/>
      <c r="T163" s="1974"/>
      <c r="U163" s="1974"/>
      <c r="V163" s="1983"/>
      <c r="W163" s="1983"/>
      <c r="X163" s="1984" t="str">
        <f>Y162&amp;"-"&amp;AA162</f>
        <v>-</v>
      </c>
      <c r="Y163" s="4763"/>
      <c r="Z163" s="4608"/>
      <c r="AA163" s="4763"/>
      <c r="AB163" s="4608"/>
      <c r="AC163" s="1983"/>
      <c r="AD163" s="1983"/>
      <c r="AE163" s="1984" t="str">
        <f>AF162&amp;"-"&amp;AH162</f>
        <v>45292-45473</v>
      </c>
      <c r="AF163" s="4763"/>
      <c r="AG163" s="4608"/>
      <c r="AH163" s="4782"/>
      <c r="AI163" s="4608"/>
      <c r="AJ163" s="1985"/>
      <c r="AK163" s="4817"/>
      <c r="AL163" s="1978"/>
      <c r="AM163" s="1979"/>
      <c r="AN163" s="1979" t="str">
        <f t="shared" si="2"/>
        <v/>
      </c>
      <c r="AO163" s="1979"/>
      <c r="AP163" s="1979"/>
    </row>
    <row r="164" spans="1:42" s="2469" customFormat="1" ht="23.25" customHeight="1">
      <c r="A164" s="1967"/>
      <c r="B164" s="1967"/>
      <c r="C164" s="1967"/>
      <c r="D164" s="1967"/>
      <c r="E164" s="4760"/>
      <c r="F164" s="4760"/>
      <c r="G164" s="4760"/>
      <c r="H164" s="4760"/>
      <c r="I164" s="4780"/>
      <c r="J164" s="4780"/>
      <c r="K164" s="4757" t="str">
        <f>J161&amp;".2"</f>
        <v>5.1.1.1.3.2</v>
      </c>
      <c r="L164" s="1968"/>
      <c r="M164" s="1969"/>
      <c r="N164" s="1969"/>
      <c r="O164" s="1969"/>
      <c r="P164" s="4758"/>
      <c r="Q164" s="4758"/>
      <c r="R164" s="1971" t="s">
        <v>102</v>
      </c>
      <c r="S164" s="1972" t="str">
        <f>$K164</f>
        <v>5.1.1.1.3.2</v>
      </c>
      <c r="T164" s="1973" t="s">
        <v>660</v>
      </c>
      <c r="U164" s="1974"/>
      <c r="V164" s="1975"/>
      <c r="W164" s="1975"/>
      <c r="X164" s="1976"/>
      <c r="Y164" s="4762"/>
      <c r="Z164" s="4608" t="s">
        <v>65</v>
      </c>
      <c r="AA164" s="4762"/>
      <c r="AB164" s="4608" t="s">
        <v>65</v>
      </c>
      <c r="AC164" s="1975">
        <v>54.64</v>
      </c>
      <c r="AD164" s="1975"/>
      <c r="AE164" s="1976"/>
      <c r="AF164" s="4762">
        <v>45474</v>
      </c>
      <c r="AG164" s="4608" t="s">
        <v>65</v>
      </c>
      <c r="AH164" s="4781">
        <v>45657</v>
      </c>
      <c r="AI164" s="4608" t="s">
        <v>65</v>
      </c>
      <c r="AJ164" s="1977"/>
      <c r="AK16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4" s="1978" t="e">
        <f ca="1">STRCHECKDATE(V165:AJ165)</f>
        <v>#NAME?</v>
      </c>
      <c r="AM164" s="1979"/>
      <c r="AN164" s="1979" t="str">
        <f t="shared" si="2"/>
        <v>Потребители, кроме населения (без учета НДС)</v>
      </c>
      <c r="AO164" s="1979"/>
      <c r="AP164" s="1979"/>
    </row>
    <row r="165" spans="1:42" s="2470" customFormat="1" ht="3.75" customHeight="1">
      <c r="A165" s="1967"/>
      <c r="B165" s="1967"/>
      <c r="C165" s="1967"/>
      <c r="D165" s="1967"/>
      <c r="E165" s="4760"/>
      <c r="F165" s="4760"/>
      <c r="G165" s="4760"/>
      <c r="H165" s="4760"/>
      <c r="I165" s="4780"/>
      <c r="J165" s="4780"/>
      <c r="K165" s="4757" t="str">
        <f>J161&amp;".1"</f>
        <v>5.1.1.1.3.1</v>
      </c>
      <c r="L165" s="1968"/>
      <c r="M165" s="1969"/>
      <c r="N165" s="1969"/>
      <c r="O165" s="1969"/>
      <c r="P165" s="4758"/>
      <c r="Q165" s="4758"/>
      <c r="R165" s="1981"/>
      <c r="S165" s="1982"/>
      <c r="T165" s="1974"/>
      <c r="U165" s="1974"/>
      <c r="V165" s="1983"/>
      <c r="W165" s="1983"/>
      <c r="X165" s="1984" t="str">
        <f>Y164&amp;"-"&amp;AA164</f>
        <v>-</v>
      </c>
      <c r="Y165" s="4763"/>
      <c r="Z165" s="4608"/>
      <c r="AA165" s="4763"/>
      <c r="AB165" s="4608"/>
      <c r="AC165" s="1983"/>
      <c r="AD165" s="1983"/>
      <c r="AE165" s="1984" t="str">
        <f>AF164&amp;"-"&amp;AH164</f>
        <v>45474-45657</v>
      </c>
      <c r="AF165" s="4763"/>
      <c r="AG165" s="4608"/>
      <c r="AH165" s="4782"/>
      <c r="AI165" s="4608"/>
      <c r="AJ165" s="1985"/>
      <c r="AK165" s="4817"/>
      <c r="AL165" s="1978"/>
      <c r="AM165" s="1979"/>
      <c r="AN165" s="1979" t="str">
        <f t="shared" si="2"/>
        <v/>
      </c>
      <c r="AO165" s="1979"/>
      <c r="AP165" s="1979"/>
    </row>
    <row r="166" spans="1:42" s="2471" customFormat="1" ht="21" customHeight="1">
      <c r="A166" s="1967"/>
      <c r="B166" s="1967"/>
      <c r="C166" s="1967"/>
      <c r="D166" s="1967"/>
      <c r="E166" s="4760"/>
      <c r="F166" s="4760"/>
      <c r="G166" s="4760"/>
      <c r="H166" s="4760"/>
      <c r="I166" s="4780"/>
      <c r="J166" s="4757" t="str">
        <f>I148&amp;".2"</f>
        <v>5.1.1.1.2</v>
      </c>
      <c r="K166" s="1967"/>
      <c r="L166" s="1968"/>
      <c r="M166" s="1969"/>
      <c r="N166" s="1969"/>
      <c r="O166" s="1969"/>
      <c r="P166" s="4758"/>
      <c r="Q166" s="4758"/>
      <c r="R166" s="1994"/>
      <c r="S166" s="2472"/>
      <c r="T166" s="2473" t="s">
        <v>624</v>
      </c>
      <c r="U166" s="2474"/>
      <c r="V166" s="2475"/>
      <c r="W166" s="2476"/>
      <c r="X166" s="2477"/>
      <c r="Y166" s="2478"/>
      <c r="Z166" s="2479"/>
      <c r="AA166" s="2480"/>
      <c r="AB166" s="2481"/>
      <c r="AC166" s="2482"/>
      <c r="AD166" s="2483"/>
      <c r="AE166" s="2484"/>
      <c r="AF166" s="2485"/>
      <c r="AG166" s="2486"/>
      <c r="AH166" s="2487"/>
      <c r="AI166" s="2488"/>
      <c r="AJ166" s="2489"/>
      <c r="AK166" s="2013" t="s">
        <v>625</v>
      </c>
      <c r="AL166" s="1978"/>
      <c r="AM166" s="1979"/>
      <c r="AN166" s="1979" t="str">
        <f t="shared" si="2"/>
        <v>Добавить значение признака дифференциации</v>
      </c>
      <c r="AO166" s="1979"/>
      <c r="AP166" s="1979"/>
    </row>
    <row r="167" spans="1:42" s="2490" customFormat="1" ht="21" customHeight="1">
      <c r="A167" s="1967"/>
      <c r="B167" s="1967"/>
      <c r="C167" s="1967"/>
      <c r="D167" s="1967"/>
      <c r="E167" s="4760" t="s">
        <v>89</v>
      </c>
      <c r="F167" s="4760"/>
      <c r="G167" s="4760"/>
      <c r="H167" s="4760"/>
      <c r="I167" s="4757"/>
      <c r="J167" s="1967"/>
      <c r="K167" s="1967"/>
      <c r="L167" s="1968"/>
      <c r="M167" s="1969"/>
      <c r="N167" s="1969"/>
      <c r="O167" s="1969"/>
      <c r="P167" s="4758"/>
      <c r="Q167" s="1970"/>
      <c r="R167" s="1994"/>
      <c r="S167" s="2491"/>
      <c r="T167" s="2492" t="s">
        <v>553</v>
      </c>
      <c r="U167" s="2493"/>
      <c r="V167" s="2494"/>
      <c r="W167" s="2495"/>
      <c r="X167" s="2496"/>
      <c r="Y167" s="2497"/>
      <c r="Z167" s="2498"/>
      <c r="AA167" s="2499"/>
      <c r="AB167" s="2500"/>
      <c r="AC167" s="2501"/>
      <c r="AD167" s="2502"/>
      <c r="AE167" s="2503"/>
      <c r="AF167" s="2504"/>
      <c r="AG167" s="2505"/>
      <c r="AH167" s="2506"/>
      <c r="AI167" s="2507"/>
      <c r="AJ167" s="2508"/>
      <c r="AK167" s="2509"/>
      <c r="AL167" s="1978"/>
      <c r="AM167" s="1979"/>
      <c r="AN167" s="1979" t="str">
        <f t="shared" si="2"/>
        <v>Добавить группу потребителей</v>
      </c>
      <c r="AO167" s="1979"/>
      <c r="AP167" s="1979"/>
    </row>
    <row r="168" spans="1:42" s="2510" customFormat="1" ht="21" customHeight="1">
      <c r="A168" s="1967"/>
      <c r="B168" s="1967"/>
      <c r="C168" s="1967"/>
      <c r="D168" s="1967"/>
      <c r="E168" s="4760" t="s">
        <v>89</v>
      </c>
      <c r="F168" s="4760"/>
      <c r="G168" s="4760"/>
      <c r="H168" s="4759"/>
      <c r="I168" s="1967"/>
      <c r="J168" s="1967"/>
      <c r="K168" s="1967"/>
      <c r="L168" s="1968"/>
      <c r="M168" s="2039"/>
      <c r="N168" s="2039"/>
      <c r="O168" s="2147"/>
      <c r="P168" s="2041"/>
      <c r="Q168" s="2148"/>
      <c r="R168" s="2042"/>
      <c r="S168" s="2511"/>
      <c r="T168" s="2512" t="s">
        <v>626</v>
      </c>
      <c r="U168" s="2513"/>
      <c r="V168" s="2514"/>
      <c r="W168" s="2515"/>
      <c r="X168" s="2516"/>
      <c r="Y168" s="2517"/>
      <c r="Z168" s="2518"/>
      <c r="AA168" s="2519"/>
      <c r="AB168" s="2520"/>
      <c r="AC168" s="2521"/>
      <c r="AD168" s="2522"/>
      <c r="AE168" s="2523"/>
      <c r="AF168" s="2524"/>
      <c r="AG168" s="2525"/>
      <c r="AH168" s="2526"/>
      <c r="AI168" s="2527"/>
      <c r="AJ168" s="2528"/>
      <c r="AK168" s="2529"/>
      <c r="AL168" s="1978"/>
      <c r="AM168" s="1979"/>
      <c r="AN168" s="1979" t="str">
        <f t="shared" si="2"/>
        <v>Добавить наименование признака дифференциации</v>
      </c>
      <c r="AO168" s="1979"/>
      <c r="AP168" s="1979"/>
    </row>
    <row r="169" spans="1:42" s="2530" customFormat="1" ht="14.25" customHeight="1">
      <c r="A169" s="2169"/>
      <c r="B169" s="2169"/>
      <c r="C169" s="2169"/>
      <c r="D169" s="2169"/>
      <c r="E169" s="4760" t="s">
        <v>89</v>
      </c>
      <c r="F169" s="4759"/>
      <c r="G169" s="2169"/>
      <c r="H169" s="2169"/>
      <c r="I169" s="2169"/>
      <c r="J169" s="2169"/>
      <c r="K169" s="2169"/>
      <c r="L169" s="2170"/>
      <c r="M169" s="2171"/>
      <c r="N169" s="2171"/>
      <c r="O169" s="1978"/>
      <c r="P169" s="2172"/>
      <c r="Q169" s="2173"/>
      <c r="R169" s="2172"/>
      <c r="S169" s="2174"/>
      <c r="T169" s="2175" t="s">
        <v>316</v>
      </c>
      <c r="U169" s="2176"/>
      <c r="V169" s="2176"/>
      <c r="W169" s="2176"/>
      <c r="X169" s="2176"/>
      <c r="Y169" s="2176"/>
      <c r="Z169" s="2176"/>
      <c r="AA169" s="2176"/>
      <c r="AB169" s="2176"/>
      <c r="AC169" s="2176"/>
      <c r="AD169" s="2176"/>
      <c r="AE169" s="2176"/>
      <c r="AF169" s="2176"/>
      <c r="AG169" s="2176"/>
      <c r="AH169" s="2176"/>
      <c r="AI169" s="2176"/>
      <c r="AJ169" s="2176"/>
      <c r="AK169" s="2176"/>
      <c r="AL169" s="1978"/>
      <c r="AM169" s="1979"/>
      <c r="AN169" s="1979" t="str">
        <f t="shared" ref="AN169:AN232" si="3">IF(T169="","",T169)</f>
        <v>Добавить централизованную систему для дифференциации</v>
      </c>
      <c r="AO169" s="1979"/>
      <c r="AP169" s="1979"/>
    </row>
    <row r="170" spans="1:42" s="2531" customFormat="1" ht="14.25" customHeight="1">
      <c r="A170" s="2169"/>
      <c r="B170" s="2169"/>
      <c r="C170" s="2169"/>
      <c r="D170" s="2169"/>
      <c r="E170" s="4759" t="s">
        <v>89</v>
      </c>
      <c r="F170" s="2169"/>
      <c r="G170" s="2169"/>
      <c r="H170" s="2169"/>
      <c r="I170" s="2169"/>
      <c r="J170" s="2169"/>
      <c r="K170" s="2169"/>
      <c r="L170" s="2170"/>
      <c r="M170" s="2171"/>
      <c r="N170" s="2171"/>
      <c r="O170" s="1978"/>
      <c r="P170" s="2172"/>
      <c r="Q170" s="2173"/>
      <c r="R170" s="2172"/>
      <c r="S170" s="2174"/>
      <c r="T170" s="2175" t="s">
        <v>317</v>
      </c>
      <c r="U170" s="2176"/>
      <c r="V170" s="2176"/>
      <c r="W170" s="2176"/>
      <c r="X170" s="2176"/>
      <c r="Y170" s="2176"/>
      <c r="Z170" s="2176"/>
      <c r="AA170" s="2176"/>
      <c r="AB170" s="2176"/>
      <c r="AC170" s="2176"/>
      <c r="AD170" s="2176"/>
      <c r="AE170" s="2176"/>
      <c r="AF170" s="2176"/>
      <c r="AG170" s="2176"/>
      <c r="AH170" s="2176"/>
      <c r="AI170" s="2176"/>
      <c r="AJ170" s="2176"/>
      <c r="AK170" s="2176"/>
      <c r="AL170" s="1978"/>
      <c r="AM170" s="1979"/>
      <c r="AN170" s="1979" t="str">
        <f t="shared" si="3"/>
        <v>Добавить территорию для дифференциации</v>
      </c>
      <c r="AO170" s="1979"/>
      <c r="AP170" s="1979"/>
    </row>
    <row r="171" spans="1:42" s="2532" customFormat="1" ht="23.25" customHeight="1">
      <c r="A171" s="1967" t="s">
        <v>339</v>
      </c>
      <c r="B171" s="1967"/>
      <c r="C171" s="1967"/>
      <c r="D171" s="1967"/>
      <c r="E171" s="4759" t="s">
        <v>90</v>
      </c>
      <c r="F171" s="1967"/>
      <c r="G171" s="1967"/>
      <c r="H171" s="1967"/>
      <c r="I171" s="1967"/>
      <c r="J171" s="1967"/>
      <c r="K171" s="1967"/>
      <c r="L171" s="1968"/>
      <c r="M171" s="2039"/>
      <c r="N171" s="2039"/>
      <c r="O171" s="2039"/>
      <c r="P171" s="2040"/>
      <c r="Q171" s="2041"/>
      <c r="R171" s="2042"/>
      <c r="S171" s="1972" t="str">
        <f>INDEX(PT_DIFFERENTIATION_NUM_NTAR,MATCH(A171,PT_DIFFERENTIATION_NTAR_ID,0))</f>
        <v>6</v>
      </c>
      <c r="T171" s="2043" t="s">
        <v>185</v>
      </c>
      <c r="U171" s="1974"/>
      <c r="V171" s="4745"/>
      <c r="W171" s="4746"/>
      <c r="X171" s="4746"/>
      <c r="Y171" s="4746"/>
      <c r="Z171" s="4746"/>
      <c r="AA171" s="4746"/>
      <c r="AB171" s="4747"/>
      <c r="AC171" s="4745" t="str">
        <f>INDEX(PT_DIFFERENTIATION_NTAR,MATCH(A171,PT_DIFFERENTIATION_NTAR_ID,0))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AD171" s="4746"/>
      <c r="AE171" s="4746"/>
      <c r="AF171" s="4746"/>
      <c r="AG171" s="4746"/>
      <c r="AH171" s="4746"/>
      <c r="AI171" s="4746"/>
      <c r="AJ171" s="4747"/>
      <c r="AK171"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71" s="1978"/>
      <c r="AM171" s="1979"/>
      <c r="AN171" s="1979" t="str">
        <f t="shared" si="3"/>
        <v>Наименование тарифа</v>
      </c>
      <c r="AO171" s="1979"/>
      <c r="AP171" s="1979"/>
    </row>
    <row r="172" spans="1:42" s="2533" customFormat="1" ht="23.25" customHeight="1">
      <c r="A172" s="1967"/>
      <c r="B172" s="1967" t="s">
        <v>340</v>
      </c>
      <c r="C172" s="1967"/>
      <c r="D172" s="1967"/>
      <c r="E172" s="4760" t="s">
        <v>128</v>
      </c>
      <c r="F172" s="4759">
        <v>1</v>
      </c>
      <c r="G172" s="1967"/>
      <c r="H172" s="1967"/>
      <c r="I172" s="1967"/>
      <c r="J172" s="1967"/>
      <c r="K172" s="1967"/>
      <c r="L172" s="1968"/>
      <c r="M172" s="2039"/>
      <c r="N172" s="2039"/>
      <c r="O172" s="2039"/>
      <c r="P172" s="2045"/>
      <c r="Q172" s="2046"/>
      <c r="R172" s="2047"/>
      <c r="S172" s="1972" t="str">
        <f>INDEX(PT_DIFFERENTIATION_NUM_TER,MATCH(B172,PT_DIFFERENTIATION_TER_ID,0))</f>
        <v>6.1</v>
      </c>
      <c r="T172" s="2048" t="s">
        <v>538</v>
      </c>
      <c r="U172" s="1974"/>
      <c r="V172" s="4745"/>
      <c r="W172" s="4746"/>
      <c r="X172" s="4746"/>
      <c r="Y172" s="4746"/>
      <c r="Z172" s="4746"/>
      <c r="AA172" s="4746"/>
      <c r="AB172" s="4747"/>
      <c r="AC172" s="4745" t="str">
        <f>INDEX(PT_DIFFERENTIATION_TER,MATCH(B172,PT_DIFFERENTIATION_TER_ID,0))</f>
        <v>Территория 3</v>
      </c>
      <c r="AD172" s="4746"/>
      <c r="AE172" s="4746"/>
      <c r="AF172" s="4746"/>
      <c r="AG172" s="4746"/>
      <c r="AH172" s="4746"/>
      <c r="AI172" s="4746"/>
      <c r="AJ172" s="4747"/>
      <c r="AK172" s="2013" t="s">
        <v>539</v>
      </c>
      <c r="AL172" s="1978"/>
      <c r="AM172" s="1979"/>
      <c r="AN172" s="1979" t="str">
        <f t="shared" si="3"/>
        <v>Территория действия тарифа</v>
      </c>
      <c r="AO172" s="1979"/>
      <c r="AP172" s="1979"/>
    </row>
    <row r="173" spans="1:42" s="2534" customFormat="1" ht="23.25" customHeight="1">
      <c r="A173" s="1967"/>
      <c r="B173" s="1967"/>
      <c r="C173" s="1967" t="s">
        <v>341</v>
      </c>
      <c r="D173" s="1967"/>
      <c r="E173" s="4760" t="s">
        <v>128</v>
      </c>
      <c r="F173" s="4760"/>
      <c r="G173" s="4759">
        <v>1</v>
      </c>
      <c r="H173" s="1967"/>
      <c r="I173" s="1967"/>
      <c r="J173" s="1967"/>
      <c r="K173" s="1967"/>
      <c r="L173" s="1968"/>
      <c r="M173" s="2039"/>
      <c r="N173" s="2039"/>
      <c r="O173" s="2039"/>
      <c r="P173" s="2050"/>
      <c r="Q173" s="2046"/>
      <c r="R173" s="2047"/>
      <c r="S173" s="1972" t="str">
        <f>INDEX(PT_DIFFERENTIATION_NUM_CS,MATCH(C173,PT_DIFFERENTIATION_CS_ID,0))</f>
        <v>6.1.1</v>
      </c>
      <c r="T173" s="2051" t="s">
        <v>652</v>
      </c>
      <c r="U173" s="1974"/>
      <c r="V173" s="4745"/>
      <c r="W173" s="4746"/>
      <c r="X173" s="4746"/>
      <c r="Y173" s="4746"/>
      <c r="Z173" s="4746"/>
      <c r="AA173" s="4746"/>
      <c r="AB173" s="4747"/>
      <c r="AC173" s="4745" t="str">
        <f>INDEX(PT_DIFFERENTIATION_CS,MATCH(C173,PT_DIFFERENTIATION_CS_ID,0))</f>
        <v>без дифференциации</v>
      </c>
      <c r="AD173" s="4746"/>
      <c r="AE173" s="4746"/>
      <c r="AF173" s="4746"/>
      <c r="AG173" s="4746"/>
      <c r="AH173" s="4746"/>
      <c r="AI173" s="4746"/>
      <c r="AJ173" s="4747"/>
      <c r="AK173" s="2013" t="s">
        <v>653</v>
      </c>
      <c r="AL173" s="1978"/>
      <c r="AM173" s="1979"/>
      <c r="AN173" s="1979" t="str">
        <f t="shared" si="3"/>
        <v>Наименование централизованной системы водоотведения</v>
      </c>
      <c r="AO173" s="1979"/>
      <c r="AP173" s="1979"/>
    </row>
    <row r="174" spans="1:42" s="2535" customFormat="1" ht="23.25" customHeight="1">
      <c r="A174" s="1967"/>
      <c r="B174" s="1967"/>
      <c r="C174" s="1967"/>
      <c r="D174" s="1967"/>
      <c r="E174" s="4760" t="s">
        <v>128</v>
      </c>
      <c r="F174" s="4760"/>
      <c r="G174" s="4760"/>
      <c r="H174" s="4760"/>
      <c r="I174" s="4757" t="str">
        <f>S173&amp;".1"</f>
        <v>6.1.1.1</v>
      </c>
      <c r="J174" s="1967"/>
      <c r="K174" s="1967"/>
      <c r="L174" s="1968"/>
      <c r="M174" s="1969"/>
      <c r="N174" s="1969"/>
      <c r="O174" s="1969"/>
      <c r="P174" s="4758">
        <v>1</v>
      </c>
      <c r="Q174" s="1970"/>
      <c r="R174" s="1994"/>
      <c r="S174" s="1972" t="str">
        <f>$I174</f>
        <v>6.1.1.1</v>
      </c>
      <c r="T174" s="2053" t="s">
        <v>621</v>
      </c>
      <c r="U174" s="1974"/>
      <c r="V174" s="4818"/>
      <c r="W174" s="4819"/>
      <c r="X174" s="4819"/>
      <c r="Y174" s="4819"/>
      <c r="Z174" s="4819"/>
      <c r="AA174" s="4819"/>
      <c r="AB174" s="4820"/>
      <c r="AC174" s="4821"/>
      <c r="AD174" s="4822"/>
      <c r="AE174" s="4822"/>
      <c r="AF174" s="4822"/>
      <c r="AG174" s="4822"/>
      <c r="AH174" s="4822"/>
      <c r="AI174" s="4822"/>
      <c r="AJ174" s="4823"/>
      <c r="AK174" s="2013" t="s">
        <v>622</v>
      </c>
      <c r="AL174" s="1978"/>
      <c r="AM174" s="1979"/>
      <c r="AN174" s="1979" t="str">
        <f t="shared" si="3"/>
        <v>Наименование признака дифференциации</v>
      </c>
      <c r="AO174" s="1979"/>
      <c r="AP174" s="1979"/>
    </row>
    <row r="175" spans="1:42" s="2536" customFormat="1" ht="23.25" customHeight="1">
      <c r="A175" s="1967"/>
      <c r="B175" s="1967"/>
      <c r="C175" s="1967"/>
      <c r="D175" s="1967"/>
      <c r="E175" s="4760" t="s">
        <v>128</v>
      </c>
      <c r="F175" s="4760"/>
      <c r="G175" s="4760"/>
      <c r="H175" s="4760"/>
      <c r="I175" s="4780"/>
      <c r="J175" s="4757" t="str">
        <f>I174&amp;".1"</f>
        <v>6.1.1.1.1</v>
      </c>
      <c r="K175" s="1967"/>
      <c r="L175" s="1968" t="s">
        <v>547</v>
      </c>
      <c r="M175" s="1969"/>
      <c r="N175" s="1969"/>
      <c r="O175" s="1969"/>
      <c r="P175" s="4758"/>
      <c r="Q175" s="4758">
        <v>1</v>
      </c>
      <c r="R175" s="1981"/>
      <c r="S175" s="1972" t="str">
        <f>$J175</f>
        <v>6.1.1.1.1</v>
      </c>
      <c r="T175" s="1987" t="s">
        <v>548</v>
      </c>
      <c r="U175" s="1974"/>
      <c r="V175" s="4748"/>
      <c r="W175" s="4749"/>
      <c r="X175" s="4749"/>
      <c r="Y175" s="4749"/>
      <c r="Z175" s="4749"/>
      <c r="AA175" s="4749"/>
      <c r="AB175" s="4750"/>
      <c r="AC175" s="4748" t="s">
        <v>657</v>
      </c>
      <c r="AD175" s="4749"/>
      <c r="AE175" s="4749"/>
      <c r="AF175" s="4749"/>
      <c r="AG175" s="4749"/>
      <c r="AH175" s="4749"/>
      <c r="AI175" s="4749"/>
      <c r="AJ175" s="4750"/>
      <c r="AK175" s="1988" t="s">
        <v>623</v>
      </c>
      <c r="AL175" s="1978"/>
      <c r="AM175" s="1979"/>
      <c r="AN175" s="1979" t="str">
        <f t="shared" si="3"/>
        <v>Группа потребителей</v>
      </c>
      <c r="AO175" s="1979"/>
      <c r="AP175" s="1979"/>
    </row>
    <row r="176" spans="1:42" s="2537" customFormat="1" ht="23.25" customHeight="1">
      <c r="A176" s="1967"/>
      <c r="B176" s="1967"/>
      <c r="C176" s="1967"/>
      <c r="D176" s="1967"/>
      <c r="E176" s="4760" t="s">
        <v>128</v>
      </c>
      <c r="F176" s="4760"/>
      <c r="G176" s="4760"/>
      <c r="H176" s="4760"/>
      <c r="I176" s="4780"/>
      <c r="J176" s="4780"/>
      <c r="K176" s="4757" t="str">
        <f>J175&amp;".1"</f>
        <v>6.1.1.1.1.1</v>
      </c>
      <c r="L176" s="1968"/>
      <c r="M176" s="1969"/>
      <c r="N176" s="1969"/>
      <c r="O176" s="1969"/>
      <c r="P176" s="4758"/>
      <c r="Q176" s="4758"/>
      <c r="R176" s="1981">
        <v>1</v>
      </c>
      <c r="S176" s="1972" t="str">
        <f>$K176</f>
        <v>6.1.1.1.1.1</v>
      </c>
      <c r="T176" s="1973" t="s">
        <v>658</v>
      </c>
      <c r="U176" s="1974"/>
      <c r="V176" s="1975"/>
      <c r="W176" s="1975"/>
      <c r="X176" s="1976"/>
      <c r="Y176" s="4762"/>
      <c r="Z176" s="4608" t="s">
        <v>65</v>
      </c>
      <c r="AA176" s="4762"/>
      <c r="AB176" s="4608" t="s">
        <v>65</v>
      </c>
      <c r="AC176" s="1975">
        <v>26.32</v>
      </c>
      <c r="AD176" s="1975"/>
      <c r="AE176" s="1976"/>
      <c r="AF176" s="4762">
        <v>45292</v>
      </c>
      <c r="AG176" s="4608" t="s">
        <v>65</v>
      </c>
      <c r="AH176" s="4781">
        <v>45473</v>
      </c>
      <c r="AI176" s="4608" t="s">
        <v>65</v>
      </c>
      <c r="AJ176" s="1977"/>
      <c r="AK17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 s="1978" t="e">
        <f ca="1">STRCHECKDATE(V177:AJ177)</f>
        <v>#NAME?</v>
      </c>
      <c r="AM176" s="1979"/>
      <c r="AN176" s="1979" t="str">
        <f t="shared" si="3"/>
        <v>Население (с учетом НДС)</v>
      </c>
      <c r="AO176" s="1979"/>
      <c r="AP176" s="1979"/>
    </row>
    <row r="177" spans="1:42" s="2538" customFormat="1" ht="3.75" customHeight="1">
      <c r="A177" s="1967"/>
      <c r="B177" s="1967"/>
      <c r="C177" s="1967"/>
      <c r="D177" s="1967"/>
      <c r="E177" s="4760" t="s">
        <v>128</v>
      </c>
      <c r="F177" s="4760"/>
      <c r="G177" s="4760"/>
      <c r="H177" s="4760"/>
      <c r="I177" s="4780"/>
      <c r="J177" s="4780"/>
      <c r="K177" s="4757"/>
      <c r="L177" s="1968"/>
      <c r="M177" s="1969"/>
      <c r="N177" s="1969"/>
      <c r="O177" s="1969"/>
      <c r="P177" s="4758"/>
      <c r="Q177" s="4758"/>
      <c r="R177" s="1981"/>
      <c r="S177" s="1982"/>
      <c r="T177" s="1974"/>
      <c r="U177" s="1974"/>
      <c r="V177" s="1983"/>
      <c r="W177" s="1983"/>
      <c r="X177" s="1984" t="str">
        <f>Y176&amp;"-"&amp;AA176</f>
        <v>-</v>
      </c>
      <c r="Y177" s="4763"/>
      <c r="Z177" s="4608"/>
      <c r="AA177" s="4763"/>
      <c r="AB177" s="4608"/>
      <c r="AC177" s="1983"/>
      <c r="AD177" s="1983"/>
      <c r="AE177" s="1984" t="str">
        <f>AF176&amp;"-"&amp;AH176</f>
        <v>45292-45473</v>
      </c>
      <c r="AF177" s="4763"/>
      <c r="AG177" s="4608"/>
      <c r="AH177" s="4782"/>
      <c r="AI177" s="4608"/>
      <c r="AJ177" s="1985"/>
      <c r="AK177" s="4817"/>
      <c r="AL177" s="1978"/>
      <c r="AM177" s="1979"/>
      <c r="AN177" s="1979" t="str">
        <f t="shared" si="3"/>
        <v/>
      </c>
      <c r="AO177" s="1979"/>
      <c r="AP177" s="1979"/>
    </row>
    <row r="178" spans="1:42" s="2539" customFormat="1" ht="23.25" customHeight="1">
      <c r="A178" s="1967"/>
      <c r="B178" s="1967"/>
      <c r="C178" s="1967"/>
      <c r="D178" s="1967"/>
      <c r="E178" s="4760"/>
      <c r="F178" s="4760"/>
      <c r="G178" s="4760"/>
      <c r="H178" s="4760"/>
      <c r="I178" s="4780"/>
      <c r="J178" s="4780"/>
      <c r="K178" s="4757" t="str">
        <f>J175&amp;".2"</f>
        <v>6.1.1.1.1.2</v>
      </c>
      <c r="L178" s="1968"/>
      <c r="M178" s="1969"/>
      <c r="N178" s="1969"/>
      <c r="O178" s="1969"/>
      <c r="P178" s="4758"/>
      <c r="Q178" s="4758"/>
      <c r="R178" s="1971" t="s">
        <v>102</v>
      </c>
      <c r="S178" s="1972" t="str">
        <f>$K178</f>
        <v>6.1.1.1.1.2</v>
      </c>
      <c r="T178" s="1973" t="s">
        <v>658</v>
      </c>
      <c r="U178" s="1974"/>
      <c r="V178" s="1975"/>
      <c r="W178" s="1975"/>
      <c r="X178" s="1976"/>
      <c r="Y178" s="4762"/>
      <c r="Z178" s="4608" t="s">
        <v>65</v>
      </c>
      <c r="AA178" s="4762"/>
      <c r="AB178" s="4608" t="s">
        <v>65</v>
      </c>
      <c r="AC178" s="1975">
        <v>28.68</v>
      </c>
      <c r="AD178" s="1975"/>
      <c r="AE178" s="1976"/>
      <c r="AF178" s="4762">
        <v>45474</v>
      </c>
      <c r="AG178" s="4608" t="s">
        <v>65</v>
      </c>
      <c r="AH178" s="4781">
        <v>45657</v>
      </c>
      <c r="AI178" s="4608" t="s">
        <v>65</v>
      </c>
      <c r="AJ178" s="1977"/>
      <c r="AK17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8" s="1978" t="e">
        <f ca="1">STRCHECKDATE(V179:AJ179)</f>
        <v>#NAME?</v>
      </c>
      <c r="AM178" s="1979"/>
      <c r="AN178" s="1979" t="str">
        <f t="shared" si="3"/>
        <v>Население (с учетом НДС)</v>
      </c>
      <c r="AO178" s="1979"/>
      <c r="AP178" s="1979"/>
    </row>
    <row r="179" spans="1:42" s="2540" customFormat="1" ht="3.75" customHeight="1">
      <c r="A179" s="1967"/>
      <c r="B179" s="1967"/>
      <c r="C179" s="1967"/>
      <c r="D179" s="1967"/>
      <c r="E179" s="4760"/>
      <c r="F179" s="4760"/>
      <c r="G179" s="4760"/>
      <c r="H179" s="4760"/>
      <c r="I179" s="4780"/>
      <c r="J179" s="4780"/>
      <c r="K179" s="4757" t="str">
        <f>J175&amp;".1"</f>
        <v>6.1.1.1.1.1</v>
      </c>
      <c r="L179" s="1968"/>
      <c r="M179" s="1969"/>
      <c r="N179" s="1969"/>
      <c r="O179" s="1969"/>
      <c r="P179" s="4758"/>
      <c r="Q179" s="4758"/>
      <c r="R179" s="1981"/>
      <c r="S179" s="1982"/>
      <c r="T179" s="1974"/>
      <c r="U179" s="1974"/>
      <c r="V179" s="1983"/>
      <c r="W179" s="1983"/>
      <c r="X179" s="1984" t="str">
        <f>Y178&amp;"-"&amp;AA178</f>
        <v>-</v>
      </c>
      <c r="Y179" s="4763"/>
      <c r="Z179" s="4608"/>
      <c r="AA179" s="4763"/>
      <c r="AB179" s="4608"/>
      <c r="AC179" s="1983"/>
      <c r="AD179" s="1983"/>
      <c r="AE179" s="1984" t="str">
        <f>AF178&amp;"-"&amp;AH178</f>
        <v>45474-45657</v>
      </c>
      <c r="AF179" s="4763"/>
      <c r="AG179" s="4608"/>
      <c r="AH179" s="4782"/>
      <c r="AI179" s="4608"/>
      <c r="AJ179" s="1985"/>
      <c r="AK179" s="4817"/>
      <c r="AL179" s="1978"/>
      <c r="AM179" s="1979"/>
      <c r="AN179" s="1979" t="str">
        <f t="shared" si="3"/>
        <v/>
      </c>
      <c r="AO179" s="1979"/>
      <c r="AP179" s="1979"/>
    </row>
    <row r="180" spans="1:42" s="2541" customFormat="1" ht="21" customHeight="1">
      <c r="A180" s="1967"/>
      <c r="B180" s="1967"/>
      <c r="C180" s="1967"/>
      <c r="D180" s="1967"/>
      <c r="E180" s="4760" t="s">
        <v>128</v>
      </c>
      <c r="F180" s="4760"/>
      <c r="G180" s="4760"/>
      <c r="H180" s="4760"/>
      <c r="I180" s="4780"/>
      <c r="J180" s="4757"/>
      <c r="K180" s="1967"/>
      <c r="L180" s="1968"/>
      <c r="M180" s="1969"/>
      <c r="N180" s="1969"/>
      <c r="O180" s="1969"/>
      <c r="P180" s="4758"/>
      <c r="Q180" s="4758"/>
      <c r="R180" s="1994"/>
      <c r="S180" s="2542"/>
      <c r="T180" s="2543" t="s">
        <v>624</v>
      </c>
      <c r="U180" s="2544"/>
      <c r="V180" s="2545"/>
      <c r="W180" s="2546"/>
      <c r="X180" s="2547"/>
      <c r="Y180" s="2548"/>
      <c r="Z180" s="2549"/>
      <c r="AA180" s="2550"/>
      <c r="AB180" s="2551"/>
      <c r="AC180" s="2552"/>
      <c r="AD180" s="2553"/>
      <c r="AE180" s="2554"/>
      <c r="AF180" s="2555"/>
      <c r="AG180" s="2556"/>
      <c r="AH180" s="2557"/>
      <c r="AI180" s="2558"/>
      <c r="AJ180" s="2559"/>
      <c r="AK180" s="2013" t="s">
        <v>625</v>
      </c>
      <c r="AL180" s="1978"/>
      <c r="AM180" s="1979"/>
      <c r="AN180" s="1979" t="str">
        <f t="shared" si="3"/>
        <v>Добавить значение признака дифференциации</v>
      </c>
      <c r="AO180" s="1979"/>
      <c r="AP180" s="1979"/>
    </row>
    <row r="181" spans="1:42" s="2560" customFormat="1" ht="23.25" customHeight="1">
      <c r="A181" s="1967"/>
      <c r="B181" s="1967"/>
      <c r="C181" s="1967"/>
      <c r="D181" s="1967"/>
      <c r="E181" s="4760"/>
      <c r="F181" s="4760"/>
      <c r="G181" s="4760"/>
      <c r="H181" s="4760"/>
      <c r="I181" s="4780"/>
      <c r="J181" s="4757" t="str">
        <f>I174&amp;".2"</f>
        <v>6.1.1.1.2</v>
      </c>
      <c r="K181" s="1967"/>
      <c r="L181" s="1968" t="s">
        <v>547</v>
      </c>
      <c r="M181" s="1969"/>
      <c r="N181" s="1969"/>
      <c r="O181" s="1969"/>
      <c r="P181" s="4758"/>
      <c r="Q181" s="4833" t="s">
        <v>102</v>
      </c>
      <c r="R181" s="1981"/>
      <c r="S181" s="1972" t="str">
        <f>$J181</f>
        <v>6.1.1.1.2</v>
      </c>
      <c r="T181" s="1987" t="s">
        <v>548</v>
      </c>
      <c r="U181" s="1974"/>
      <c r="V181" s="4748"/>
      <c r="W181" s="4749"/>
      <c r="X181" s="4749"/>
      <c r="Y181" s="4749"/>
      <c r="Z181" s="4749"/>
      <c r="AA181" s="4749"/>
      <c r="AB181" s="4750"/>
      <c r="AC181" s="4748" t="s">
        <v>659</v>
      </c>
      <c r="AD181" s="4749"/>
      <c r="AE181" s="4749"/>
      <c r="AF181" s="4749"/>
      <c r="AG181" s="4749"/>
      <c r="AH181" s="4749"/>
      <c r="AI181" s="4749"/>
      <c r="AJ181" s="4750"/>
      <c r="AK181" s="1988" t="s">
        <v>623</v>
      </c>
      <c r="AL181" s="1978"/>
      <c r="AM181" s="1979"/>
      <c r="AN181" s="1979" t="str">
        <f t="shared" si="3"/>
        <v>Группа потребителей</v>
      </c>
      <c r="AO181" s="1979"/>
      <c r="AP181" s="1979"/>
    </row>
    <row r="182" spans="1:42" s="2561" customFormat="1" ht="23.25" customHeight="1">
      <c r="A182" s="1967"/>
      <c r="B182" s="1967"/>
      <c r="C182" s="1967"/>
      <c r="D182" s="1967"/>
      <c r="E182" s="4760"/>
      <c r="F182" s="4760"/>
      <c r="G182" s="4760"/>
      <c r="H182" s="4760"/>
      <c r="I182" s="4780"/>
      <c r="J182" s="4780" t="str">
        <f>I174&amp;".1"</f>
        <v>6.1.1.1.1</v>
      </c>
      <c r="K182" s="4757" t="str">
        <f>J181&amp;".1"</f>
        <v>6.1.1.1.2.1</v>
      </c>
      <c r="L182" s="1968"/>
      <c r="M182" s="1969"/>
      <c r="N182" s="1969"/>
      <c r="O182" s="1969"/>
      <c r="P182" s="4758"/>
      <c r="Q182" s="4758"/>
      <c r="R182" s="1981">
        <v>1</v>
      </c>
      <c r="S182" s="1972" t="str">
        <f>$K182</f>
        <v>6.1.1.1.2.1</v>
      </c>
      <c r="T182" s="1973" t="s">
        <v>660</v>
      </c>
      <c r="U182" s="1974"/>
      <c r="V182" s="1975"/>
      <c r="W182" s="1975"/>
      <c r="X182" s="1976"/>
      <c r="Y182" s="4762"/>
      <c r="Z182" s="4608" t="s">
        <v>65</v>
      </c>
      <c r="AA182" s="4762"/>
      <c r="AB182" s="4608" t="s">
        <v>65</v>
      </c>
      <c r="AC182" s="1975">
        <v>86.08</v>
      </c>
      <c r="AD182" s="1975"/>
      <c r="AE182" s="1976"/>
      <c r="AF182" s="4762">
        <v>45292</v>
      </c>
      <c r="AG182" s="4608" t="s">
        <v>65</v>
      </c>
      <c r="AH182" s="4781">
        <v>45473</v>
      </c>
      <c r="AI182" s="4608" t="s">
        <v>65</v>
      </c>
      <c r="AJ182" s="1977"/>
      <c r="AK18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2" s="1978" t="e">
        <f ca="1">STRCHECKDATE(V183:AJ183)</f>
        <v>#NAME?</v>
      </c>
      <c r="AM182" s="1979"/>
      <c r="AN182" s="1979" t="str">
        <f t="shared" si="3"/>
        <v>Потребители, кроме населения (без учета НДС)</v>
      </c>
      <c r="AO182" s="1979"/>
      <c r="AP182" s="1979"/>
    </row>
    <row r="183" spans="1:42" s="2562" customFormat="1" ht="3.75" customHeight="1">
      <c r="A183" s="1967"/>
      <c r="B183" s="1967"/>
      <c r="C183" s="1967"/>
      <c r="D183" s="1967"/>
      <c r="E183" s="4760"/>
      <c r="F183" s="4760"/>
      <c r="G183" s="4760"/>
      <c r="H183" s="4760"/>
      <c r="I183" s="4780"/>
      <c r="J183" s="4780" t="str">
        <f>I174&amp;".1"</f>
        <v>6.1.1.1.1</v>
      </c>
      <c r="K183" s="4757"/>
      <c r="L183" s="1968"/>
      <c r="M183" s="1969"/>
      <c r="N183" s="1969"/>
      <c r="O183" s="1969"/>
      <c r="P183" s="4758"/>
      <c r="Q183" s="4758"/>
      <c r="R183" s="1981"/>
      <c r="S183" s="1982"/>
      <c r="T183" s="1974"/>
      <c r="U183" s="1974"/>
      <c r="V183" s="1983"/>
      <c r="W183" s="1983"/>
      <c r="X183" s="1984" t="str">
        <f>Y182&amp;"-"&amp;AA182</f>
        <v>-</v>
      </c>
      <c r="Y183" s="4763"/>
      <c r="Z183" s="4608"/>
      <c r="AA183" s="4763"/>
      <c r="AB183" s="4608"/>
      <c r="AC183" s="1983"/>
      <c r="AD183" s="1983"/>
      <c r="AE183" s="1984" t="str">
        <f>AF182&amp;"-"&amp;AH182</f>
        <v>45292-45473</v>
      </c>
      <c r="AF183" s="4763"/>
      <c r="AG183" s="4608"/>
      <c r="AH183" s="4782"/>
      <c r="AI183" s="4608"/>
      <c r="AJ183" s="1985"/>
      <c r="AK183" s="4817"/>
      <c r="AL183" s="1978"/>
      <c r="AM183" s="1979"/>
      <c r="AN183" s="1979" t="str">
        <f t="shared" si="3"/>
        <v/>
      </c>
      <c r="AO183" s="1979"/>
      <c r="AP183" s="1979"/>
    </row>
    <row r="184" spans="1:42" s="2563" customFormat="1" ht="23.25" customHeight="1">
      <c r="A184" s="1967"/>
      <c r="B184" s="1967"/>
      <c r="C184" s="1967"/>
      <c r="D184" s="1967"/>
      <c r="E184" s="4760"/>
      <c r="F184" s="4760"/>
      <c r="G184" s="4760"/>
      <c r="H184" s="4760"/>
      <c r="I184" s="4780"/>
      <c r="J184" s="4780"/>
      <c r="K184" s="4757" t="str">
        <f>J181&amp;".2"</f>
        <v>6.1.1.1.2.2</v>
      </c>
      <c r="L184" s="1968"/>
      <c r="M184" s="1969"/>
      <c r="N184" s="1969"/>
      <c r="O184" s="1969"/>
      <c r="P184" s="4758"/>
      <c r="Q184" s="4758"/>
      <c r="R184" s="1971" t="s">
        <v>102</v>
      </c>
      <c r="S184" s="1972" t="str">
        <f>$K184</f>
        <v>6.1.1.1.2.2</v>
      </c>
      <c r="T184" s="1973" t="s">
        <v>660</v>
      </c>
      <c r="U184" s="1974"/>
      <c r="V184" s="1975"/>
      <c r="W184" s="1975"/>
      <c r="X184" s="1976"/>
      <c r="Y184" s="4762"/>
      <c r="Z184" s="4608" t="s">
        <v>65</v>
      </c>
      <c r="AA184" s="4762"/>
      <c r="AB184" s="4608" t="s">
        <v>65</v>
      </c>
      <c r="AC184" s="1975">
        <v>54.64</v>
      </c>
      <c r="AD184" s="1975"/>
      <c r="AE184" s="1976"/>
      <c r="AF184" s="4762">
        <v>45474</v>
      </c>
      <c r="AG184" s="4608" t="s">
        <v>65</v>
      </c>
      <c r="AH184" s="4781">
        <v>45657</v>
      </c>
      <c r="AI184" s="4608" t="s">
        <v>65</v>
      </c>
      <c r="AJ184" s="1977"/>
      <c r="AK18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4" s="1978" t="e">
        <f ca="1">STRCHECKDATE(V185:AJ185)</f>
        <v>#NAME?</v>
      </c>
      <c r="AM184" s="1979"/>
      <c r="AN184" s="1979" t="str">
        <f t="shared" si="3"/>
        <v>Потребители, кроме населения (без учета НДС)</v>
      </c>
      <c r="AO184" s="1979"/>
      <c r="AP184" s="1979"/>
    </row>
    <row r="185" spans="1:42" s="2564" customFormat="1" ht="3.75" customHeight="1">
      <c r="A185" s="1967"/>
      <c r="B185" s="1967"/>
      <c r="C185" s="1967"/>
      <c r="D185" s="1967"/>
      <c r="E185" s="4760"/>
      <c r="F185" s="4760"/>
      <c r="G185" s="4760"/>
      <c r="H185" s="4760"/>
      <c r="I185" s="4780"/>
      <c r="J185" s="4780"/>
      <c r="K185" s="4757" t="str">
        <f>J181&amp;".1"</f>
        <v>6.1.1.1.2.1</v>
      </c>
      <c r="L185" s="1968"/>
      <c r="M185" s="1969"/>
      <c r="N185" s="1969"/>
      <c r="O185" s="1969"/>
      <c r="P185" s="4758"/>
      <c r="Q185" s="4758"/>
      <c r="R185" s="1981"/>
      <c r="S185" s="1982"/>
      <c r="T185" s="1974"/>
      <c r="U185" s="1974"/>
      <c r="V185" s="1983"/>
      <c r="W185" s="1983"/>
      <c r="X185" s="1984" t="str">
        <f>Y184&amp;"-"&amp;AA184</f>
        <v>-</v>
      </c>
      <c r="Y185" s="4763"/>
      <c r="Z185" s="4608"/>
      <c r="AA185" s="4763"/>
      <c r="AB185" s="4608"/>
      <c r="AC185" s="1983"/>
      <c r="AD185" s="1983"/>
      <c r="AE185" s="1984" t="str">
        <f>AF184&amp;"-"&amp;AH184</f>
        <v>45474-45657</v>
      </c>
      <c r="AF185" s="4763"/>
      <c r="AG185" s="4608"/>
      <c r="AH185" s="4782"/>
      <c r="AI185" s="4608"/>
      <c r="AJ185" s="1985"/>
      <c r="AK185" s="4817"/>
      <c r="AL185" s="1978"/>
      <c r="AM185" s="1979"/>
      <c r="AN185" s="1979" t="str">
        <f t="shared" si="3"/>
        <v/>
      </c>
      <c r="AO185" s="1979"/>
      <c r="AP185" s="1979"/>
    </row>
    <row r="186" spans="1:42" s="2565" customFormat="1" ht="21" customHeight="1">
      <c r="A186" s="1967"/>
      <c r="B186" s="1967"/>
      <c r="C186" s="1967"/>
      <c r="D186" s="1967"/>
      <c r="E186" s="4760"/>
      <c r="F186" s="4760"/>
      <c r="G186" s="4760"/>
      <c r="H186" s="4760"/>
      <c r="I186" s="4780"/>
      <c r="J186" s="4757" t="str">
        <f>I174&amp;".1"</f>
        <v>6.1.1.1.1</v>
      </c>
      <c r="K186" s="1967"/>
      <c r="L186" s="1968"/>
      <c r="M186" s="1969"/>
      <c r="N186" s="1969"/>
      <c r="O186" s="1969"/>
      <c r="P186" s="4758"/>
      <c r="Q186" s="4758"/>
      <c r="R186" s="1994"/>
      <c r="S186" s="2566"/>
      <c r="T186" s="2567" t="s">
        <v>624</v>
      </c>
      <c r="U186" s="2568"/>
      <c r="V186" s="2569"/>
      <c r="W186" s="2570"/>
      <c r="X186" s="2571"/>
      <c r="Y186" s="2572"/>
      <c r="Z186" s="2573"/>
      <c r="AA186" s="2574"/>
      <c r="AB186" s="2575"/>
      <c r="AC186" s="2576"/>
      <c r="AD186" s="2577"/>
      <c r="AE186" s="2578"/>
      <c r="AF186" s="2579"/>
      <c r="AG186" s="2580"/>
      <c r="AH186" s="2581"/>
      <c r="AI186" s="2582"/>
      <c r="AJ186" s="2583"/>
      <c r="AK186" s="2013" t="s">
        <v>625</v>
      </c>
      <c r="AL186" s="1978"/>
      <c r="AM186" s="1979"/>
      <c r="AN186" s="1979" t="str">
        <f t="shared" si="3"/>
        <v>Добавить значение признака дифференциации</v>
      </c>
      <c r="AO186" s="1979"/>
      <c r="AP186" s="1979"/>
    </row>
    <row r="187" spans="1:42" s="2584" customFormat="1" ht="23.25" customHeight="1">
      <c r="A187" s="1967"/>
      <c r="B187" s="1967"/>
      <c r="C187" s="1967"/>
      <c r="D187" s="1967"/>
      <c r="E187" s="4760"/>
      <c r="F187" s="4760"/>
      <c r="G187" s="4760"/>
      <c r="H187" s="4760"/>
      <c r="I187" s="4780"/>
      <c r="J187" s="4757" t="str">
        <f>I174&amp;".3"</f>
        <v>6.1.1.1.3</v>
      </c>
      <c r="K187" s="1967"/>
      <c r="L187" s="1968" t="s">
        <v>547</v>
      </c>
      <c r="M187" s="1969"/>
      <c r="N187" s="1969"/>
      <c r="O187" s="1969"/>
      <c r="P187" s="4758"/>
      <c r="Q187" s="4833" t="s">
        <v>102</v>
      </c>
      <c r="R187" s="1981"/>
      <c r="S187" s="1972" t="str">
        <f>$J187</f>
        <v>6.1.1.1.3</v>
      </c>
      <c r="T187" s="1987" t="s">
        <v>548</v>
      </c>
      <c r="U187" s="1974"/>
      <c r="V187" s="4748"/>
      <c r="W187" s="4749"/>
      <c r="X187" s="4749"/>
      <c r="Y187" s="4749"/>
      <c r="Z187" s="4749"/>
      <c r="AA187" s="4749"/>
      <c r="AB187" s="4750"/>
      <c r="AC187" s="4748" t="s">
        <v>661</v>
      </c>
      <c r="AD187" s="4749"/>
      <c r="AE187" s="4749"/>
      <c r="AF187" s="4749"/>
      <c r="AG187" s="4749"/>
      <c r="AH187" s="4749"/>
      <c r="AI187" s="4749"/>
      <c r="AJ187" s="4750"/>
      <c r="AK187" s="1988" t="s">
        <v>623</v>
      </c>
      <c r="AL187" s="1978"/>
      <c r="AM187" s="1979"/>
      <c r="AN187" s="1979" t="str">
        <f t="shared" si="3"/>
        <v>Группа потребителей</v>
      </c>
      <c r="AO187" s="1979"/>
      <c r="AP187" s="1979"/>
    </row>
    <row r="188" spans="1:42" s="2585" customFormat="1" ht="23.25" customHeight="1">
      <c r="A188" s="1967"/>
      <c r="B188" s="1967"/>
      <c r="C188" s="1967"/>
      <c r="D188" s="1967"/>
      <c r="E188" s="4760"/>
      <c r="F188" s="4760"/>
      <c r="G188" s="4760"/>
      <c r="H188" s="4760"/>
      <c r="I188" s="4780"/>
      <c r="J188" s="4780" t="str">
        <f>I174&amp;".2"</f>
        <v>6.1.1.1.2</v>
      </c>
      <c r="K188" s="4757" t="str">
        <f>J187&amp;".1"</f>
        <v>6.1.1.1.3.1</v>
      </c>
      <c r="L188" s="1968"/>
      <c r="M188" s="1969"/>
      <c r="N188" s="1969"/>
      <c r="O188" s="1969"/>
      <c r="P188" s="4758"/>
      <c r="Q188" s="4758"/>
      <c r="R188" s="1981">
        <v>1</v>
      </c>
      <c r="S188" s="1972" t="str">
        <f>$K188</f>
        <v>6.1.1.1.3.1</v>
      </c>
      <c r="T188" s="1973" t="s">
        <v>660</v>
      </c>
      <c r="U188" s="1974"/>
      <c r="V188" s="1975"/>
      <c r="W188" s="1975"/>
      <c r="X188" s="1976"/>
      <c r="Y188" s="4762"/>
      <c r="Z188" s="4608" t="s">
        <v>65</v>
      </c>
      <c r="AA188" s="4762"/>
      <c r="AB188" s="4608" t="s">
        <v>65</v>
      </c>
      <c r="AC188" s="1975">
        <v>86.08</v>
      </c>
      <c r="AD188" s="1975"/>
      <c r="AE188" s="1976"/>
      <c r="AF188" s="4762">
        <v>45292</v>
      </c>
      <c r="AG188" s="4608" t="s">
        <v>65</v>
      </c>
      <c r="AH188" s="4781">
        <v>45473</v>
      </c>
      <c r="AI188" s="4608" t="s">
        <v>65</v>
      </c>
      <c r="AJ188" s="1977"/>
      <c r="AK18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8" s="1978" t="e">
        <f ca="1">STRCHECKDATE(V189:AJ189)</f>
        <v>#NAME?</v>
      </c>
      <c r="AM188" s="1979"/>
      <c r="AN188" s="1979" t="str">
        <f t="shared" si="3"/>
        <v>Потребители, кроме населения (без учета НДС)</v>
      </c>
      <c r="AO188" s="1979"/>
      <c r="AP188" s="1979"/>
    </row>
    <row r="189" spans="1:42" s="2586" customFormat="1" ht="3.75" customHeight="1">
      <c r="A189" s="1967"/>
      <c r="B189" s="1967"/>
      <c r="C189" s="1967"/>
      <c r="D189" s="1967"/>
      <c r="E189" s="4760"/>
      <c r="F189" s="4760"/>
      <c r="G189" s="4760"/>
      <c r="H189" s="4760"/>
      <c r="I189" s="4780"/>
      <c r="J189" s="4780" t="str">
        <f>I174&amp;".2"</f>
        <v>6.1.1.1.2</v>
      </c>
      <c r="K189" s="4757"/>
      <c r="L189" s="1968"/>
      <c r="M189" s="1969"/>
      <c r="N189" s="1969"/>
      <c r="O189" s="1969"/>
      <c r="P189" s="4758"/>
      <c r="Q189" s="4758"/>
      <c r="R189" s="1981"/>
      <c r="S189" s="1982"/>
      <c r="T189" s="1974"/>
      <c r="U189" s="1974"/>
      <c r="V189" s="1983"/>
      <c r="W189" s="1983"/>
      <c r="X189" s="1984" t="str">
        <f>Y188&amp;"-"&amp;AA188</f>
        <v>-</v>
      </c>
      <c r="Y189" s="4763"/>
      <c r="Z189" s="4608"/>
      <c r="AA189" s="4763"/>
      <c r="AB189" s="4608"/>
      <c r="AC189" s="1983"/>
      <c r="AD189" s="1983"/>
      <c r="AE189" s="1984" t="str">
        <f>AF188&amp;"-"&amp;AH188</f>
        <v>45292-45473</v>
      </c>
      <c r="AF189" s="4763"/>
      <c r="AG189" s="4608"/>
      <c r="AH189" s="4782"/>
      <c r="AI189" s="4608"/>
      <c r="AJ189" s="1985"/>
      <c r="AK189" s="4817"/>
      <c r="AL189" s="1978"/>
      <c r="AM189" s="1979"/>
      <c r="AN189" s="1979" t="str">
        <f t="shared" si="3"/>
        <v/>
      </c>
      <c r="AO189" s="1979"/>
      <c r="AP189" s="1979"/>
    </row>
    <row r="190" spans="1:42" s="2587" customFormat="1" ht="23.25" customHeight="1">
      <c r="A190" s="1967"/>
      <c r="B190" s="1967"/>
      <c r="C190" s="1967"/>
      <c r="D190" s="1967"/>
      <c r="E190" s="4760"/>
      <c r="F190" s="4760"/>
      <c r="G190" s="4760"/>
      <c r="H190" s="4760"/>
      <c r="I190" s="4780"/>
      <c r="J190" s="4780"/>
      <c r="K190" s="4757" t="str">
        <f>J187&amp;".2"</f>
        <v>6.1.1.1.3.2</v>
      </c>
      <c r="L190" s="1968"/>
      <c r="M190" s="1969"/>
      <c r="N190" s="1969"/>
      <c r="O190" s="1969"/>
      <c r="P190" s="4758"/>
      <c r="Q190" s="4758"/>
      <c r="R190" s="1971" t="s">
        <v>102</v>
      </c>
      <c r="S190" s="1972" t="str">
        <f>$K190</f>
        <v>6.1.1.1.3.2</v>
      </c>
      <c r="T190" s="1973" t="s">
        <v>660</v>
      </c>
      <c r="U190" s="1974"/>
      <c r="V190" s="1975"/>
      <c r="W190" s="1975"/>
      <c r="X190" s="1976"/>
      <c r="Y190" s="4762"/>
      <c r="Z190" s="4608" t="s">
        <v>65</v>
      </c>
      <c r="AA190" s="4762"/>
      <c r="AB190" s="4608" t="s">
        <v>65</v>
      </c>
      <c r="AC190" s="1975">
        <v>54.64</v>
      </c>
      <c r="AD190" s="1975"/>
      <c r="AE190" s="1976"/>
      <c r="AF190" s="4762">
        <v>45474</v>
      </c>
      <c r="AG190" s="4608" t="s">
        <v>65</v>
      </c>
      <c r="AH190" s="4781">
        <v>45657</v>
      </c>
      <c r="AI190" s="4608" t="s">
        <v>65</v>
      </c>
      <c r="AJ190" s="1977"/>
      <c r="AK19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 s="1978" t="e">
        <f ca="1">STRCHECKDATE(V191:AJ191)</f>
        <v>#NAME?</v>
      </c>
      <c r="AM190" s="1979"/>
      <c r="AN190" s="1979" t="str">
        <f t="shared" si="3"/>
        <v>Потребители, кроме населения (без учета НДС)</v>
      </c>
      <c r="AO190" s="1979"/>
      <c r="AP190" s="1979"/>
    </row>
    <row r="191" spans="1:42" s="2588" customFormat="1" ht="3.75" customHeight="1">
      <c r="A191" s="1967"/>
      <c r="B191" s="1967"/>
      <c r="C191" s="1967"/>
      <c r="D191" s="1967"/>
      <c r="E191" s="4760"/>
      <c r="F191" s="4760"/>
      <c r="G191" s="4760"/>
      <c r="H191" s="4760"/>
      <c r="I191" s="4780"/>
      <c r="J191" s="4780"/>
      <c r="K191" s="4757" t="str">
        <f>J187&amp;".1"</f>
        <v>6.1.1.1.3.1</v>
      </c>
      <c r="L191" s="1968"/>
      <c r="M191" s="1969"/>
      <c r="N191" s="1969"/>
      <c r="O191" s="1969"/>
      <c r="P191" s="4758"/>
      <c r="Q191" s="4758"/>
      <c r="R191" s="1981"/>
      <c r="S191" s="1982"/>
      <c r="T191" s="1974"/>
      <c r="U191" s="1974"/>
      <c r="V191" s="1983"/>
      <c r="W191" s="1983"/>
      <c r="X191" s="1984" t="str">
        <f>Y190&amp;"-"&amp;AA190</f>
        <v>-</v>
      </c>
      <c r="Y191" s="4763"/>
      <c r="Z191" s="4608"/>
      <c r="AA191" s="4763"/>
      <c r="AB191" s="4608"/>
      <c r="AC191" s="1983"/>
      <c r="AD191" s="1983"/>
      <c r="AE191" s="1984" t="str">
        <f>AF190&amp;"-"&amp;AH190</f>
        <v>45474-45657</v>
      </c>
      <c r="AF191" s="4763"/>
      <c r="AG191" s="4608"/>
      <c r="AH191" s="4782"/>
      <c r="AI191" s="4608"/>
      <c r="AJ191" s="1985"/>
      <c r="AK191" s="4817"/>
      <c r="AL191" s="1978"/>
      <c r="AM191" s="1979"/>
      <c r="AN191" s="1979" t="str">
        <f t="shared" si="3"/>
        <v/>
      </c>
      <c r="AO191" s="1979"/>
      <c r="AP191" s="1979"/>
    </row>
    <row r="192" spans="1:42" s="2589" customFormat="1" ht="21" customHeight="1">
      <c r="A192" s="1967"/>
      <c r="B192" s="1967"/>
      <c r="C192" s="1967"/>
      <c r="D192" s="1967"/>
      <c r="E192" s="4760"/>
      <c r="F192" s="4760"/>
      <c r="G192" s="4760"/>
      <c r="H192" s="4760"/>
      <c r="I192" s="4780"/>
      <c r="J192" s="4757" t="str">
        <f>I174&amp;".2"</f>
        <v>6.1.1.1.2</v>
      </c>
      <c r="K192" s="1967"/>
      <c r="L192" s="1968"/>
      <c r="M192" s="1969"/>
      <c r="N192" s="1969"/>
      <c r="O192" s="1969"/>
      <c r="P192" s="4758"/>
      <c r="Q192" s="4758"/>
      <c r="R192" s="1994"/>
      <c r="S192" s="2590"/>
      <c r="T192" s="2591" t="s">
        <v>624</v>
      </c>
      <c r="U192" s="2592"/>
      <c r="V192" s="2593"/>
      <c r="W192" s="2594"/>
      <c r="X192" s="2595"/>
      <c r="Y192" s="2596"/>
      <c r="Z192" s="2597"/>
      <c r="AA192" s="2598"/>
      <c r="AB192" s="2599"/>
      <c r="AC192" s="2600"/>
      <c r="AD192" s="2601"/>
      <c r="AE192" s="2602"/>
      <c r="AF192" s="2603"/>
      <c r="AG192" s="2604"/>
      <c r="AH192" s="2605"/>
      <c r="AI192" s="2606"/>
      <c r="AJ192" s="2607"/>
      <c r="AK192" s="2013" t="s">
        <v>625</v>
      </c>
      <c r="AL192" s="1978"/>
      <c r="AM192" s="1979"/>
      <c r="AN192" s="1979" t="str">
        <f t="shared" si="3"/>
        <v>Добавить значение признака дифференциации</v>
      </c>
      <c r="AO192" s="1979"/>
      <c r="AP192" s="1979"/>
    </row>
    <row r="193" spans="1:42" s="2608" customFormat="1" ht="21" customHeight="1">
      <c r="A193" s="1967"/>
      <c r="B193" s="1967"/>
      <c r="C193" s="1967"/>
      <c r="D193" s="1967"/>
      <c r="E193" s="4760" t="s">
        <v>128</v>
      </c>
      <c r="F193" s="4760"/>
      <c r="G193" s="4760"/>
      <c r="H193" s="4760"/>
      <c r="I193" s="4757"/>
      <c r="J193" s="1967"/>
      <c r="K193" s="1967"/>
      <c r="L193" s="1968"/>
      <c r="M193" s="1969"/>
      <c r="N193" s="1969"/>
      <c r="O193" s="1969"/>
      <c r="P193" s="4758"/>
      <c r="Q193" s="1970"/>
      <c r="R193" s="1994"/>
      <c r="S193" s="2609"/>
      <c r="T193" s="2610" t="s">
        <v>553</v>
      </c>
      <c r="U193" s="2611"/>
      <c r="V193" s="2612"/>
      <c r="W193" s="2613"/>
      <c r="X193" s="2614"/>
      <c r="Y193" s="2615"/>
      <c r="Z193" s="2616"/>
      <c r="AA193" s="2617"/>
      <c r="AB193" s="2618"/>
      <c r="AC193" s="2619"/>
      <c r="AD193" s="2620"/>
      <c r="AE193" s="2621"/>
      <c r="AF193" s="2622"/>
      <c r="AG193" s="2623"/>
      <c r="AH193" s="2624"/>
      <c r="AI193" s="2625"/>
      <c r="AJ193" s="2626"/>
      <c r="AK193" s="2627"/>
      <c r="AL193" s="1978"/>
      <c r="AM193" s="1979"/>
      <c r="AN193" s="1979" t="str">
        <f t="shared" si="3"/>
        <v>Добавить группу потребителей</v>
      </c>
      <c r="AO193" s="1979"/>
      <c r="AP193" s="1979"/>
    </row>
    <row r="194" spans="1:42" s="2628" customFormat="1" ht="21" customHeight="1">
      <c r="A194" s="1967"/>
      <c r="B194" s="1967"/>
      <c r="C194" s="1967"/>
      <c r="D194" s="1967"/>
      <c r="E194" s="4760" t="s">
        <v>128</v>
      </c>
      <c r="F194" s="4760"/>
      <c r="G194" s="4760"/>
      <c r="H194" s="4759"/>
      <c r="I194" s="1967"/>
      <c r="J194" s="1967"/>
      <c r="K194" s="1967"/>
      <c r="L194" s="1968"/>
      <c r="M194" s="2039"/>
      <c r="N194" s="2039"/>
      <c r="O194" s="2147"/>
      <c r="P194" s="2041"/>
      <c r="Q194" s="2148"/>
      <c r="R194" s="2042"/>
      <c r="S194" s="2629"/>
      <c r="T194" s="2630" t="s">
        <v>626</v>
      </c>
      <c r="U194" s="2631"/>
      <c r="V194" s="2632"/>
      <c r="W194" s="2633"/>
      <c r="X194" s="2634"/>
      <c r="Y194" s="2635"/>
      <c r="Z194" s="2636"/>
      <c r="AA194" s="2637"/>
      <c r="AB194" s="2638"/>
      <c r="AC194" s="2639"/>
      <c r="AD194" s="2640"/>
      <c r="AE194" s="2641"/>
      <c r="AF194" s="2642"/>
      <c r="AG194" s="2643"/>
      <c r="AH194" s="2644"/>
      <c r="AI194" s="2645"/>
      <c r="AJ194" s="2646"/>
      <c r="AK194" s="2647"/>
      <c r="AL194" s="1978"/>
      <c r="AM194" s="1979"/>
      <c r="AN194" s="1979" t="str">
        <f t="shared" si="3"/>
        <v>Добавить наименование признака дифференциации</v>
      </c>
      <c r="AO194" s="1979"/>
      <c r="AP194" s="1979"/>
    </row>
    <row r="195" spans="1:42" s="2648" customFormat="1" ht="14.25" customHeight="1">
      <c r="A195" s="2169"/>
      <c r="B195" s="2169"/>
      <c r="C195" s="2169"/>
      <c r="D195" s="2169"/>
      <c r="E195" s="4760" t="s">
        <v>128</v>
      </c>
      <c r="F195" s="4759"/>
      <c r="G195" s="2169"/>
      <c r="H195" s="2169"/>
      <c r="I195" s="2169"/>
      <c r="J195" s="2169"/>
      <c r="K195" s="2169"/>
      <c r="L195" s="2170"/>
      <c r="M195" s="2171"/>
      <c r="N195" s="2171"/>
      <c r="O195" s="1978"/>
      <c r="P195" s="2172"/>
      <c r="Q195" s="2173"/>
      <c r="R195" s="2172"/>
      <c r="S195" s="2174"/>
      <c r="T195" s="2175" t="s">
        <v>316</v>
      </c>
      <c r="U195" s="2176"/>
      <c r="V195" s="2176"/>
      <c r="W195" s="2176"/>
      <c r="X195" s="2176"/>
      <c r="Y195" s="2176"/>
      <c r="Z195" s="2176"/>
      <c r="AA195" s="2176"/>
      <c r="AB195" s="2176"/>
      <c r="AC195" s="2176"/>
      <c r="AD195" s="2176"/>
      <c r="AE195" s="2176"/>
      <c r="AF195" s="2176"/>
      <c r="AG195" s="2176"/>
      <c r="AH195" s="2176"/>
      <c r="AI195" s="2176"/>
      <c r="AJ195" s="2176"/>
      <c r="AK195" s="2176"/>
      <c r="AL195" s="1978"/>
      <c r="AM195" s="1979"/>
      <c r="AN195" s="1979" t="str">
        <f t="shared" si="3"/>
        <v>Добавить централизованную систему для дифференциации</v>
      </c>
      <c r="AO195" s="1979"/>
      <c r="AP195" s="1979"/>
    </row>
    <row r="196" spans="1:42" s="2649" customFormat="1" ht="14.25" customHeight="1">
      <c r="A196" s="2169"/>
      <c r="B196" s="2169"/>
      <c r="C196" s="2169"/>
      <c r="D196" s="2169"/>
      <c r="E196" s="4759" t="s">
        <v>128</v>
      </c>
      <c r="F196" s="2169"/>
      <c r="G196" s="2169"/>
      <c r="H196" s="2169"/>
      <c r="I196" s="2169"/>
      <c r="J196" s="2169"/>
      <c r="K196" s="2169"/>
      <c r="L196" s="2170"/>
      <c r="M196" s="2171"/>
      <c r="N196" s="2171"/>
      <c r="O196" s="1978"/>
      <c r="P196" s="2172"/>
      <c r="Q196" s="2173"/>
      <c r="R196" s="2172"/>
      <c r="S196" s="2174"/>
      <c r="T196" s="2175" t="s">
        <v>317</v>
      </c>
      <c r="U196" s="2176"/>
      <c r="V196" s="2176"/>
      <c r="W196" s="2176"/>
      <c r="X196" s="2176"/>
      <c r="Y196" s="2176"/>
      <c r="Z196" s="2176"/>
      <c r="AA196" s="2176"/>
      <c r="AB196" s="2176"/>
      <c r="AC196" s="2176"/>
      <c r="AD196" s="2176"/>
      <c r="AE196" s="2176"/>
      <c r="AF196" s="2176"/>
      <c r="AG196" s="2176"/>
      <c r="AH196" s="2176"/>
      <c r="AI196" s="2176"/>
      <c r="AJ196" s="2176"/>
      <c r="AK196" s="2176"/>
      <c r="AL196" s="1978"/>
      <c r="AM196" s="1979"/>
      <c r="AN196" s="1979" t="str">
        <f t="shared" si="3"/>
        <v>Добавить территорию для дифференциации</v>
      </c>
      <c r="AO196" s="1979"/>
      <c r="AP196" s="1979"/>
    </row>
    <row r="197" spans="1:42" s="2650" customFormat="1" ht="23.25" customHeight="1">
      <c r="A197" s="1967" t="s">
        <v>344</v>
      </c>
      <c r="B197" s="1967"/>
      <c r="C197" s="1967"/>
      <c r="D197" s="1967"/>
      <c r="E197" s="4759" t="s">
        <v>91</v>
      </c>
      <c r="F197" s="1967"/>
      <c r="G197" s="1967"/>
      <c r="H197" s="1967"/>
      <c r="I197" s="1967"/>
      <c r="J197" s="1967"/>
      <c r="K197" s="1967"/>
      <c r="L197" s="1968"/>
      <c r="M197" s="2039"/>
      <c r="N197" s="2039"/>
      <c r="O197" s="2039"/>
      <c r="P197" s="2040"/>
      <c r="Q197" s="2041"/>
      <c r="R197" s="2042"/>
      <c r="S197" s="1972" t="str">
        <f>INDEX(PT_DIFFERENTIATION_NUM_NTAR,MATCH(A197,PT_DIFFERENTIATION_NTAR_ID,0))</f>
        <v>7</v>
      </c>
      <c r="T197" s="2043" t="s">
        <v>185</v>
      </c>
      <c r="U197" s="1974"/>
      <c r="V197" s="4745"/>
      <c r="W197" s="4746"/>
      <c r="X197" s="4746"/>
      <c r="Y197" s="4746"/>
      <c r="Z197" s="4746"/>
      <c r="AA197" s="4746"/>
      <c r="AB197" s="4747"/>
      <c r="AC197" s="4745" t="str">
        <f>INDEX(PT_DIFFERENTIATION_NTAR,MATCH(A197,PT_DIFFERENTIATION_NTAR_ID,0))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AD197" s="4746"/>
      <c r="AE197" s="4746"/>
      <c r="AF197" s="4746"/>
      <c r="AG197" s="4746"/>
      <c r="AH197" s="4746"/>
      <c r="AI197" s="4746"/>
      <c r="AJ197" s="4747"/>
      <c r="AK197"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197" s="1978"/>
      <c r="AM197" s="1979"/>
      <c r="AN197" s="1979" t="str">
        <f t="shared" si="3"/>
        <v>Наименование тарифа</v>
      </c>
      <c r="AO197" s="1979"/>
      <c r="AP197" s="1979"/>
    </row>
    <row r="198" spans="1:42" s="2651" customFormat="1" ht="23.25" customHeight="1">
      <c r="A198" s="1967"/>
      <c r="B198" s="1967" t="s">
        <v>345</v>
      </c>
      <c r="C198" s="1967"/>
      <c r="D198" s="1967"/>
      <c r="E198" s="4760" t="s">
        <v>90</v>
      </c>
      <c r="F198" s="4759">
        <v>1</v>
      </c>
      <c r="G198" s="1967"/>
      <c r="H198" s="1967"/>
      <c r="I198" s="1967"/>
      <c r="J198" s="1967"/>
      <c r="K198" s="1967"/>
      <c r="L198" s="1968"/>
      <c r="M198" s="2039"/>
      <c r="N198" s="2039"/>
      <c r="O198" s="2039"/>
      <c r="P198" s="2045"/>
      <c r="Q198" s="2046"/>
      <c r="R198" s="2047"/>
      <c r="S198" s="1972" t="str">
        <f>INDEX(PT_DIFFERENTIATION_NUM_TER,MATCH(B198,PT_DIFFERENTIATION_TER_ID,0))</f>
        <v>7.1</v>
      </c>
      <c r="T198" s="2048" t="s">
        <v>538</v>
      </c>
      <c r="U198" s="1974"/>
      <c r="V198" s="4745"/>
      <c r="W198" s="4746"/>
      <c r="X198" s="4746"/>
      <c r="Y198" s="4746"/>
      <c r="Z198" s="4746"/>
      <c r="AA198" s="4746"/>
      <c r="AB198" s="4747"/>
      <c r="AC198" s="4745" t="str">
        <f>INDEX(PT_DIFFERENTIATION_TER,MATCH(B198,PT_DIFFERENTIATION_TER_ID,0))</f>
        <v>Территория 4</v>
      </c>
      <c r="AD198" s="4746"/>
      <c r="AE198" s="4746"/>
      <c r="AF198" s="4746"/>
      <c r="AG198" s="4746"/>
      <c r="AH198" s="4746"/>
      <c r="AI198" s="4746"/>
      <c r="AJ198" s="4747"/>
      <c r="AK198" s="2013" t="s">
        <v>539</v>
      </c>
      <c r="AL198" s="1978"/>
      <c r="AM198" s="1979"/>
      <c r="AN198" s="1979" t="str">
        <f t="shared" si="3"/>
        <v>Территория действия тарифа</v>
      </c>
      <c r="AO198" s="1979"/>
      <c r="AP198" s="1979"/>
    </row>
    <row r="199" spans="1:42" s="2652" customFormat="1" ht="23.25" customHeight="1">
      <c r="A199" s="1967"/>
      <c r="B199" s="1967"/>
      <c r="C199" s="1967" t="s">
        <v>346</v>
      </c>
      <c r="D199" s="1967"/>
      <c r="E199" s="4760" t="s">
        <v>90</v>
      </c>
      <c r="F199" s="4760"/>
      <c r="G199" s="4759">
        <v>1</v>
      </c>
      <c r="H199" s="1967"/>
      <c r="I199" s="1967"/>
      <c r="J199" s="1967"/>
      <c r="K199" s="1967"/>
      <c r="L199" s="1968"/>
      <c r="M199" s="2039"/>
      <c r="N199" s="2039"/>
      <c r="O199" s="2039"/>
      <c r="P199" s="2050"/>
      <c r="Q199" s="2046"/>
      <c r="R199" s="2047"/>
      <c r="S199" s="1972" t="str">
        <f>INDEX(PT_DIFFERENTIATION_NUM_CS,MATCH(C199,PT_DIFFERENTIATION_CS_ID,0))</f>
        <v>7.1.1</v>
      </c>
      <c r="T199" s="2051" t="s">
        <v>652</v>
      </c>
      <c r="U199" s="1974"/>
      <c r="V199" s="4745"/>
      <c r="W199" s="4746"/>
      <c r="X199" s="4746"/>
      <c r="Y199" s="4746"/>
      <c r="Z199" s="4746"/>
      <c r="AA199" s="4746"/>
      <c r="AB199" s="4747"/>
      <c r="AC199" s="4745" t="str">
        <f>INDEX(PT_DIFFERENTIATION_CS,MATCH(C199,PT_DIFFERENTIATION_CS_ID,0))</f>
        <v>без дифференциации</v>
      </c>
      <c r="AD199" s="4746"/>
      <c r="AE199" s="4746"/>
      <c r="AF199" s="4746"/>
      <c r="AG199" s="4746"/>
      <c r="AH199" s="4746"/>
      <c r="AI199" s="4746"/>
      <c r="AJ199" s="4747"/>
      <c r="AK199" s="2013" t="s">
        <v>653</v>
      </c>
      <c r="AL199" s="1978"/>
      <c r="AM199" s="1979"/>
      <c r="AN199" s="1979" t="str">
        <f t="shared" si="3"/>
        <v>Наименование централизованной системы водоотведения</v>
      </c>
      <c r="AO199" s="1979"/>
      <c r="AP199" s="1979"/>
    </row>
    <row r="200" spans="1:42" s="2653" customFormat="1" ht="23.25" customHeight="1">
      <c r="A200" s="1967"/>
      <c r="B200" s="1967"/>
      <c r="C200" s="1967"/>
      <c r="D200" s="1967"/>
      <c r="E200" s="4760" t="s">
        <v>90</v>
      </c>
      <c r="F200" s="4760"/>
      <c r="G200" s="4760"/>
      <c r="H200" s="4760"/>
      <c r="I200" s="4757" t="str">
        <f>S199&amp;".1"</f>
        <v>7.1.1.1</v>
      </c>
      <c r="J200" s="1967"/>
      <c r="K200" s="1967"/>
      <c r="L200" s="1968"/>
      <c r="M200" s="1969"/>
      <c r="N200" s="1969"/>
      <c r="O200" s="1969"/>
      <c r="P200" s="4758">
        <v>1</v>
      </c>
      <c r="Q200" s="1970"/>
      <c r="R200" s="1994"/>
      <c r="S200" s="1972" t="str">
        <f>$I200</f>
        <v>7.1.1.1</v>
      </c>
      <c r="T200" s="2053" t="s">
        <v>621</v>
      </c>
      <c r="U200" s="1974"/>
      <c r="V200" s="4818"/>
      <c r="W200" s="4819"/>
      <c r="X200" s="4819"/>
      <c r="Y200" s="4819"/>
      <c r="Z200" s="4819"/>
      <c r="AA200" s="4819"/>
      <c r="AB200" s="4820"/>
      <c r="AC200" s="4821"/>
      <c r="AD200" s="4822"/>
      <c r="AE200" s="4822"/>
      <c r="AF200" s="4822"/>
      <c r="AG200" s="4822"/>
      <c r="AH200" s="4822"/>
      <c r="AI200" s="4822"/>
      <c r="AJ200" s="4823"/>
      <c r="AK200" s="2013" t="s">
        <v>622</v>
      </c>
      <c r="AL200" s="1978"/>
      <c r="AM200" s="1979"/>
      <c r="AN200" s="1979" t="str">
        <f t="shared" si="3"/>
        <v>Наименование признака дифференциации</v>
      </c>
      <c r="AO200" s="1979"/>
      <c r="AP200" s="1979"/>
    </row>
    <row r="201" spans="1:42" s="2654" customFormat="1" ht="23.25" customHeight="1">
      <c r="A201" s="1967"/>
      <c r="B201" s="1967"/>
      <c r="C201" s="1967"/>
      <c r="D201" s="1967"/>
      <c r="E201" s="4760" t="s">
        <v>90</v>
      </c>
      <c r="F201" s="4760"/>
      <c r="G201" s="4760"/>
      <c r="H201" s="4760"/>
      <c r="I201" s="4780"/>
      <c r="J201" s="4757" t="str">
        <f>I200&amp;".1"</f>
        <v>7.1.1.1.1</v>
      </c>
      <c r="K201" s="1967"/>
      <c r="L201" s="1968" t="s">
        <v>547</v>
      </c>
      <c r="M201" s="1969"/>
      <c r="N201" s="1969"/>
      <c r="O201" s="1969"/>
      <c r="P201" s="4758"/>
      <c r="Q201" s="4758">
        <v>1</v>
      </c>
      <c r="R201" s="1981"/>
      <c r="S201" s="1972" t="str">
        <f>$J201</f>
        <v>7.1.1.1.1</v>
      </c>
      <c r="T201" s="1987" t="s">
        <v>548</v>
      </c>
      <c r="U201" s="1974"/>
      <c r="V201" s="4748"/>
      <c r="W201" s="4749"/>
      <c r="X201" s="4749"/>
      <c r="Y201" s="4749"/>
      <c r="Z201" s="4749"/>
      <c r="AA201" s="4749"/>
      <c r="AB201" s="4750"/>
      <c r="AC201" s="4748" t="s">
        <v>657</v>
      </c>
      <c r="AD201" s="4749"/>
      <c r="AE201" s="4749"/>
      <c r="AF201" s="4749"/>
      <c r="AG201" s="4749"/>
      <c r="AH201" s="4749"/>
      <c r="AI201" s="4749"/>
      <c r="AJ201" s="4750"/>
      <c r="AK201" s="1988" t="s">
        <v>623</v>
      </c>
      <c r="AL201" s="1978"/>
      <c r="AM201" s="1979"/>
      <c r="AN201" s="1979" t="str">
        <f t="shared" si="3"/>
        <v>Группа потребителей</v>
      </c>
      <c r="AO201" s="1979"/>
      <c r="AP201" s="1979"/>
    </row>
    <row r="202" spans="1:42" s="2655" customFormat="1" ht="23.25" customHeight="1">
      <c r="A202" s="1967"/>
      <c r="B202" s="1967"/>
      <c r="C202" s="1967"/>
      <c r="D202" s="1967"/>
      <c r="E202" s="4760" t="s">
        <v>90</v>
      </c>
      <c r="F202" s="4760"/>
      <c r="G202" s="4760"/>
      <c r="H202" s="4760"/>
      <c r="I202" s="4780"/>
      <c r="J202" s="4780"/>
      <c r="K202" s="4757" t="str">
        <f>J201&amp;".1"</f>
        <v>7.1.1.1.1.1</v>
      </c>
      <c r="L202" s="1968"/>
      <c r="M202" s="1969"/>
      <c r="N202" s="1969"/>
      <c r="O202" s="1969"/>
      <c r="P202" s="4758"/>
      <c r="Q202" s="4758"/>
      <c r="R202" s="1981">
        <v>1</v>
      </c>
      <c r="S202" s="1972" t="str">
        <f>$K202</f>
        <v>7.1.1.1.1.1</v>
      </c>
      <c r="T202" s="1973" t="s">
        <v>658</v>
      </c>
      <c r="U202" s="1974"/>
      <c r="V202" s="1975"/>
      <c r="W202" s="1975"/>
      <c r="X202" s="1976"/>
      <c r="Y202" s="4762"/>
      <c r="Z202" s="4608" t="s">
        <v>65</v>
      </c>
      <c r="AA202" s="4762"/>
      <c r="AB202" s="4608" t="s">
        <v>65</v>
      </c>
      <c r="AC202" s="1975">
        <v>42.07</v>
      </c>
      <c r="AD202" s="1975"/>
      <c r="AE202" s="1976"/>
      <c r="AF202" s="4762">
        <v>45292</v>
      </c>
      <c r="AG202" s="4608" t="s">
        <v>65</v>
      </c>
      <c r="AH202" s="4781">
        <v>45473</v>
      </c>
      <c r="AI202" s="4608" t="s">
        <v>65</v>
      </c>
      <c r="AJ202" s="1977"/>
      <c r="AK20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2" s="1978" t="e">
        <f ca="1">STRCHECKDATE(V203:AJ203)</f>
        <v>#NAME?</v>
      </c>
      <c r="AM202" s="1979"/>
      <c r="AN202" s="1979" t="str">
        <f t="shared" si="3"/>
        <v>Население (с учетом НДС)</v>
      </c>
      <c r="AO202" s="1979"/>
      <c r="AP202" s="1979"/>
    </row>
    <row r="203" spans="1:42" s="2656" customFormat="1" ht="14.25" customHeight="1">
      <c r="A203" s="1967"/>
      <c r="B203" s="1967"/>
      <c r="C203" s="1967"/>
      <c r="D203" s="1967"/>
      <c r="E203" s="4760" t="s">
        <v>90</v>
      </c>
      <c r="F203" s="4760"/>
      <c r="G203" s="4760"/>
      <c r="H203" s="4760"/>
      <c r="I203" s="4780"/>
      <c r="J203" s="4780"/>
      <c r="K203" s="4757"/>
      <c r="L203" s="1968"/>
      <c r="M203" s="1969"/>
      <c r="N203" s="1969"/>
      <c r="O203" s="1969"/>
      <c r="P203" s="4758"/>
      <c r="Q203" s="4758"/>
      <c r="R203" s="1981"/>
      <c r="S203" s="1982"/>
      <c r="T203" s="1974"/>
      <c r="U203" s="1974"/>
      <c r="V203" s="1983"/>
      <c r="W203" s="1983"/>
      <c r="X203" s="1984" t="str">
        <f>Y202&amp;"-"&amp;AA202</f>
        <v>-</v>
      </c>
      <c r="Y203" s="4763"/>
      <c r="Z203" s="4608"/>
      <c r="AA203" s="4763"/>
      <c r="AB203" s="4608"/>
      <c r="AC203" s="1983"/>
      <c r="AD203" s="1983"/>
      <c r="AE203" s="1984" t="str">
        <f>AF202&amp;"-"&amp;AH202</f>
        <v>45292-45473</v>
      </c>
      <c r="AF203" s="4763"/>
      <c r="AG203" s="4608"/>
      <c r="AH203" s="4782"/>
      <c r="AI203" s="4608"/>
      <c r="AJ203" s="1985"/>
      <c r="AK203" s="4817"/>
      <c r="AL203" s="1978"/>
      <c r="AM203" s="1979"/>
      <c r="AN203" s="1979" t="str">
        <f t="shared" si="3"/>
        <v/>
      </c>
      <c r="AO203" s="1979"/>
      <c r="AP203" s="1979"/>
    </row>
    <row r="204" spans="1:42" s="2657" customFormat="1" ht="23.25" customHeight="1">
      <c r="A204" s="1967"/>
      <c r="B204" s="1967"/>
      <c r="C204" s="1967"/>
      <c r="D204" s="1967"/>
      <c r="E204" s="4760"/>
      <c r="F204" s="4760"/>
      <c r="G204" s="4760"/>
      <c r="H204" s="4760"/>
      <c r="I204" s="4780"/>
      <c r="J204" s="4780"/>
      <c r="K204" s="4757" t="str">
        <f>J201&amp;".2"</f>
        <v>7.1.1.1.1.2</v>
      </c>
      <c r="L204" s="1968"/>
      <c r="M204" s="1969"/>
      <c r="N204" s="1969"/>
      <c r="O204" s="1969"/>
      <c r="P204" s="4758"/>
      <c r="Q204" s="4758"/>
      <c r="R204" s="1971" t="s">
        <v>102</v>
      </c>
      <c r="S204" s="1972" t="str">
        <f>$K204</f>
        <v>7.1.1.1.1.2</v>
      </c>
      <c r="T204" s="1973" t="s">
        <v>658</v>
      </c>
      <c r="U204" s="1974"/>
      <c r="V204" s="1975"/>
      <c r="W204" s="1975"/>
      <c r="X204" s="1976"/>
      <c r="Y204" s="4762"/>
      <c r="Z204" s="4608" t="s">
        <v>65</v>
      </c>
      <c r="AA204" s="4762"/>
      <c r="AB204" s="4608" t="s">
        <v>65</v>
      </c>
      <c r="AC204" s="1975">
        <v>45.85</v>
      </c>
      <c r="AD204" s="1975"/>
      <c r="AE204" s="1976"/>
      <c r="AF204" s="4762">
        <v>45474</v>
      </c>
      <c r="AG204" s="4608" t="s">
        <v>65</v>
      </c>
      <c r="AH204" s="4781">
        <v>45657</v>
      </c>
      <c r="AI204" s="4608" t="s">
        <v>65</v>
      </c>
      <c r="AJ204" s="1977"/>
      <c r="AK20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4" s="1978" t="e">
        <f ca="1">STRCHECKDATE(V205:AJ205)</f>
        <v>#NAME?</v>
      </c>
      <c r="AM204" s="1979"/>
      <c r="AN204" s="1979" t="str">
        <f t="shared" si="3"/>
        <v>Население (с учетом НДС)</v>
      </c>
      <c r="AO204" s="1979"/>
      <c r="AP204" s="1979"/>
    </row>
    <row r="205" spans="1:42" s="2658" customFormat="1" ht="14.25" customHeight="1">
      <c r="A205" s="1967"/>
      <c r="B205" s="1967"/>
      <c r="C205" s="1967"/>
      <c r="D205" s="1967"/>
      <c r="E205" s="4760"/>
      <c r="F205" s="4760"/>
      <c r="G205" s="4760"/>
      <c r="H205" s="4760"/>
      <c r="I205" s="4780"/>
      <c r="J205" s="4780"/>
      <c r="K205" s="4757" t="str">
        <f>J201&amp;".1"</f>
        <v>7.1.1.1.1.1</v>
      </c>
      <c r="L205" s="1968"/>
      <c r="M205" s="1969"/>
      <c r="N205" s="1969"/>
      <c r="O205" s="1969"/>
      <c r="P205" s="4758"/>
      <c r="Q205" s="4758"/>
      <c r="R205" s="1981"/>
      <c r="S205" s="1982"/>
      <c r="T205" s="1974"/>
      <c r="U205" s="1974"/>
      <c r="V205" s="1983"/>
      <c r="W205" s="1983"/>
      <c r="X205" s="1984" t="str">
        <f>Y204&amp;"-"&amp;AA204</f>
        <v>-</v>
      </c>
      <c r="Y205" s="4763"/>
      <c r="Z205" s="4608"/>
      <c r="AA205" s="4763"/>
      <c r="AB205" s="4608"/>
      <c r="AC205" s="1983"/>
      <c r="AD205" s="1983"/>
      <c r="AE205" s="1984" t="str">
        <f>AF204&amp;"-"&amp;AH204</f>
        <v>45474-45657</v>
      </c>
      <c r="AF205" s="4763"/>
      <c r="AG205" s="4608"/>
      <c r="AH205" s="4782"/>
      <c r="AI205" s="4608"/>
      <c r="AJ205" s="1985"/>
      <c r="AK205" s="4817"/>
      <c r="AL205" s="1978"/>
      <c r="AM205" s="1979"/>
      <c r="AN205" s="1979" t="str">
        <f t="shared" si="3"/>
        <v/>
      </c>
      <c r="AO205" s="1979"/>
      <c r="AP205" s="1979"/>
    </row>
    <row r="206" spans="1:42" s="2659" customFormat="1" ht="21" customHeight="1">
      <c r="A206" s="1967"/>
      <c r="B206" s="1967"/>
      <c r="C206" s="1967"/>
      <c r="D206" s="1967"/>
      <c r="E206" s="4760" t="s">
        <v>90</v>
      </c>
      <c r="F206" s="4760"/>
      <c r="G206" s="4760"/>
      <c r="H206" s="4760"/>
      <c r="I206" s="4780"/>
      <c r="J206" s="4757"/>
      <c r="K206" s="1967"/>
      <c r="L206" s="1968"/>
      <c r="M206" s="1969"/>
      <c r="N206" s="1969"/>
      <c r="O206" s="1969"/>
      <c r="P206" s="4758"/>
      <c r="Q206" s="4758"/>
      <c r="R206" s="1994"/>
      <c r="S206" s="2660"/>
      <c r="T206" s="2661" t="s">
        <v>624</v>
      </c>
      <c r="U206" s="2662"/>
      <c r="V206" s="2663"/>
      <c r="W206" s="2664"/>
      <c r="X206" s="2665"/>
      <c r="Y206" s="2666"/>
      <c r="Z206" s="2667"/>
      <c r="AA206" s="2668"/>
      <c r="AB206" s="2669"/>
      <c r="AC206" s="2670"/>
      <c r="AD206" s="2671"/>
      <c r="AE206" s="2672"/>
      <c r="AF206" s="2673"/>
      <c r="AG206" s="2674"/>
      <c r="AH206" s="2675"/>
      <c r="AI206" s="2676"/>
      <c r="AJ206" s="2677"/>
      <c r="AK206" s="2013" t="s">
        <v>625</v>
      </c>
      <c r="AL206" s="1978"/>
      <c r="AM206" s="1979"/>
      <c r="AN206" s="1979" t="str">
        <f t="shared" si="3"/>
        <v>Добавить значение признака дифференциации</v>
      </c>
      <c r="AO206" s="1979"/>
      <c r="AP206" s="1979"/>
    </row>
    <row r="207" spans="1:42" s="2678" customFormat="1" ht="23.25" customHeight="1">
      <c r="A207" s="1967"/>
      <c r="B207" s="1967"/>
      <c r="C207" s="1967"/>
      <c r="D207" s="1967"/>
      <c r="E207" s="4760"/>
      <c r="F207" s="4760"/>
      <c r="G207" s="4760"/>
      <c r="H207" s="4760"/>
      <c r="I207" s="4780"/>
      <c r="J207" s="4757" t="str">
        <f>I200&amp;".2"</f>
        <v>7.1.1.1.2</v>
      </c>
      <c r="K207" s="1967"/>
      <c r="L207" s="1968" t="s">
        <v>547</v>
      </c>
      <c r="M207" s="1969"/>
      <c r="N207" s="1969"/>
      <c r="O207" s="1969"/>
      <c r="P207" s="4758"/>
      <c r="Q207" s="4833" t="s">
        <v>102</v>
      </c>
      <c r="R207" s="1981"/>
      <c r="S207" s="1972" t="str">
        <f>$J207</f>
        <v>7.1.1.1.2</v>
      </c>
      <c r="T207" s="1987" t="s">
        <v>548</v>
      </c>
      <c r="U207" s="1974"/>
      <c r="V207" s="4748"/>
      <c r="W207" s="4749"/>
      <c r="X207" s="4749"/>
      <c r="Y207" s="4749"/>
      <c r="Z207" s="4749"/>
      <c r="AA207" s="4749"/>
      <c r="AB207" s="4750"/>
      <c r="AC207" s="4748" t="s">
        <v>659</v>
      </c>
      <c r="AD207" s="4749"/>
      <c r="AE207" s="4749"/>
      <c r="AF207" s="4749"/>
      <c r="AG207" s="4749"/>
      <c r="AH207" s="4749"/>
      <c r="AI207" s="4749"/>
      <c r="AJ207" s="4750"/>
      <c r="AK207" s="1988" t="s">
        <v>623</v>
      </c>
      <c r="AL207" s="1978"/>
      <c r="AM207" s="1979"/>
      <c r="AN207" s="1979" t="str">
        <f t="shared" si="3"/>
        <v>Группа потребителей</v>
      </c>
      <c r="AO207" s="1979"/>
      <c r="AP207" s="1979"/>
    </row>
    <row r="208" spans="1:42" s="2679" customFormat="1" ht="23.25" customHeight="1">
      <c r="A208" s="1967"/>
      <c r="B208" s="1967"/>
      <c r="C208" s="1967"/>
      <c r="D208" s="1967"/>
      <c r="E208" s="4760"/>
      <c r="F208" s="4760"/>
      <c r="G208" s="4760"/>
      <c r="H208" s="4760"/>
      <c r="I208" s="4780"/>
      <c r="J208" s="4780" t="str">
        <f>I200&amp;".1"</f>
        <v>7.1.1.1.1</v>
      </c>
      <c r="K208" s="4757" t="str">
        <f>J207&amp;".1"</f>
        <v>7.1.1.1.2.1</v>
      </c>
      <c r="L208" s="1968"/>
      <c r="M208" s="1969"/>
      <c r="N208" s="1969"/>
      <c r="O208" s="1969"/>
      <c r="P208" s="4758"/>
      <c r="Q208" s="4758"/>
      <c r="R208" s="1981">
        <v>1</v>
      </c>
      <c r="S208" s="1972" t="str">
        <f>$K208</f>
        <v>7.1.1.1.2.1</v>
      </c>
      <c r="T208" s="1973" t="s">
        <v>660</v>
      </c>
      <c r="U208" s="1974"/>
      <c r="V208" s="1975"/>
      <c r="W208" s="1975"/>
      <c r="X208" s="1976"/>
      <c r="Y208" s="4762"/>
      <c r="Z208" s="4608" t="s">
        <v>65</v>
      </c>
      <c r="AA208" s="4762"/>
      <c r="AB208" s="4608" t="s">
        <v>65</v>
      </c>
      <c r="AC208" s="1975">
        <v>86.08</v>
      </c>
      <c r="AD208" s="1975"/>
      <c r="AE208" s="1976"/>
      <c r="AF208" s="4762">
        <v>45292</v>
      </c>
      <c r="AG208" s="4608" t="s">
        <v>65</v>
      </c>
      <c r="AH208" s="4781">
        <v>45473</v>
      </c>
      <c r="AI208" s="4608" t="s">
        <v>65</v>
      </c>
      <c r="AJ208" s="1977"/>
      <c r="AK20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8" s="1978" t="e">
        <f ca="1">STRCHECKDATE(V209:AJ209)</f>
        <v>#NAME?</v>
      </c>
      <c r="AM208" s="1979"/>
      <c r="AN208" s="1979" t="str">
        <f t="shared" si="3"/>
        <v>Потребители, кроме населения (без учета НДС)</v>
      </c>
      <c r="AO208" s="1979"/>
      <c r="AP208" s="1979"/>
    </row>
    <row r="209" spans="1:42" s="2680" customFormat="1" ht="14.25" customHeight="1">
      <c r="A209" s="1967"/>
      <c r="B209" s="1967"/>
      <c r="C209" s="1967"/>
      <c r="D209" s="1967"/>
      <c r="E209" s="4760"/>
      <c r="F209" s="4760"/>
      <c r="G209" s="4760"/>
      <c r="H209" s="4760"/>
      <c r="I209" s="4780"/>
      <c r="J209" s="4780" t="str">
        <f>I200&amp;".1"</f>
        <v>7.1.1.1.1</v>
      </c>
      <c r="K209" s="4757"/>
      <c r="L209" s="1968"/>
      <c r="M209" s="1969"/>
      <c r="N209" s="1969"/>
      <c r="O209" s="1969"/>
      <c r="P209" s="4758"/>
      <c r="Q209" s="4758"/>
      <c r="R209" s="1981"/>
      <c r="S209" s="1982"/>
      <c r="T209" s="1974"/>
      <c r="U209" s="1974"/>
      <c r="V209" s="1983"/>
      <c r="W209" s="1983"/>
      <c r="X209" s="1984" t="str">
        <f>Y208&amp;"-"&amp;AA208</f>
        <v>-</v>
      </c>
      <c r="Y209" s="4763"/>
      <c r="Z209" s="4608"/>
      <c r="AA209" s="4763"/>
      <c r="AB209" s="4608"/>
      <c r="AC209" s="1983"/>
      <c r="AD209" s="1983"/>
      <c r="AE209" s="1984" t="str">
        <f>AF208&amp;"-"&amp;AH208</f>
        <v>45292-45473</v>
      </c>
      <c r="AF209" s="4763"/>
      <c r="AG209" s="4608"/>
      <c r="AH209" s="4782"/>
      <c r="AI209" s="4608"/>
      <c r="AJ209" s="1985"/>
      <c r="AK209" s="4817"/>
      <c r="AL209" s="1978"/>
      <c r="AM209" s="1979"/>
      <c r="AN209" s="1979" t="str">
        <f t="shared" si="3"/>
        <v/>
      </c>
      <c r="AO209" s="1979"/>
      <c r="AP209" s="1979"/>
    </row>
    <row r="210" spans="1:42" s="2681" customFormat="1" ht="23.25" customHeight="1">
      <c r="A210" s="1967"/>
      <c r="B210" s="1967"/>
      <c r="C210" s="1967"/>
      <c r="D210" s="1967"/>
      <c r="E210" s="4760"/>
      <c r="F210" s="4760"/>
      <c r="G210" s="4760"/>
      <c r="H210" s="4760"/>
      <c r="I210" s="4780"/>
      <c r="J210" s="4780"/>
      <c r="K210" s="4757" t="str">
        <f>J207&amp;".2"</f>
        <v>7.1.1.1.2.2</v>
      </c>
      <c r="L210" s="1968"/>
      <c r="M210" s="1969"/>
      <c r="N210" s="1969"/>
      <c r="O210" s="1969"/>
      <c r="P210" s="4758"/>
      <c r="Q210" s="4758"/>
      <c r="R210" s="1971" t="s">
        <v>102</v>
      </c>
      <c r="S210" s="1972" t="str">
        <f>$K210</f>
        <v>7.1.1.1.2.2</v>
      </c>
      <c r="T210" s="1973" t="s">
        <v>660</v>
      </c>
      <c r="U210" s="1974"/>
      <c r="V210" s="1975"/>
      <c r="W210" s="1975"/>
      <c r="X210" s="1976"/>
      <c r="Y210" s="4762"/>
      <c r="Z210" s="4608" t="s">
        <v>65</v>
      </c>
      <c r="AA210" s="4762"/>
      <c r="AB210" s="4608" t="s">
        <v>65</v>
      </c>
      <c r="AC210" s="1975">
        <v>54.64</v>
      </c>
      <c r="AD210" s="1975"/>
      <c r="AE210" s="1976"/>
      <c r="AF210" s="4762">
        <v>45474</v>
      </c>
      <c r="AG210" s="4608" t="s">
        <v>65</v>
      </c>
      <c r="AH210" s="4781">
        <v>45657</v>
      </c>
      <c r="AI210" s="4608" t="s">
        <v>65</v>
      </c>
      <c r="AJ210" s="1977"/>
      <c r="AK21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 s="1978" t="e">
        <f ca="1">STRCHECKDATE(V211:AJ211)</f>
        <v>#NAME?</v>
      </c>
      <c r="AM210" s="1979"/>
      <c r="AN210" s="1979" t="str">
        <f t="shared" si="3"/>
        <v>Потребители, кроме населения (без учета НДС)</v>
      </c>
      <c r="AO210" s="1979"/>
      <c r="AP210" s="1979"/>
    </row>
    <row r="211" spans="1:42" s="2682" customFormat="1" ht="14.25" customHeight="1">
      <c r="A211" s="1967"/>
      <c r="B211" s="1967"/>
      <c r="C211" s="1967"/>
      <c r="D211" s="1967"/>
      <c r="E211" s="4760"/>
      <c r="F211" s="4760"/>
      <c r="G211" s="4760"/>
      <c r="H211" s="4760"/>
      <c r="I211" s="4780"/>
      <c r="J211" s="4780"/>
      <c r="K211" s="4757" t="str">
        <f>J207&amp;".1"</f>
        <v>7.1.1.1.2.1</v>
      </c>
      <c r="L211" s="1968"/>
      <c r="M211" s="1969"/>
      <c r="N211" s="1969"/>
      <c r="O211" s="1969"/>
      <c r="P211" s="4758"/>
      <c r="Q211" s="4758"/>
      <c r="R211" s="1981"/>
      <c r="S211" s="1982"/>
      <c r="T211" s="1974"/>
      <c r="U211" s="1974"/>
      <c r="V211" s="1983"/>
      <c r="W211" s="1983"/>
      <c r="X211" s="1984" t="str">
        <f>Y210&amp;"-"&amp;AA210</f>
        <v>-</v>
      </c>
      <c r="Y211" s="4763"/>
      <c r="Z211" s="4608"/>
      <c r="AA211" s="4763"/>
      <c r="AB211" s="4608"/>
      <c r="AC211" s="1983"/>
      <c r="AD211" s="1983"/>
      <c r="AE211" s="1984" t="str">
        <f>AF210&amp;"-"&amp;AH210</f>
        <v>45474-45657</v>
      </c>
      <c r="AF211" s="4763"/>
      <c r="AG211" s="4608"/>
      <c r="AH211" s="4782"/>
      <c r="AI211" s="4608"/>
      <c r="AJ211" s="1985"/>
      <c r="AK211" s="4817"/>
      <c r="AL211" s="1978"/>
      <c r="AM211" s="1979"/>
      <c r="AN211" s="1979" t="str">
        <f t="shared" si="3"/>
        <v/>
      </c>
      <c r="AO211" s="1979"/>
      <c r="AP211" s="1979"/>
    </row>
    <row r="212" spans="1:42" s="2683" customFormat="1" ht="21" customHeight="1">
      <c r="A212" s="1967"/>
      <c r="B212" s="1967"/>
      <c r="C212" s="1967"/>
      <c r="D212" s="1967"/>
      <c r="E212" s="4760"/>
      <c r="F212" s="4760"/>
      <c r="G212" s="4760"/>
      <c r="H212" s="4760"/>
      <c r="I212" s="4780"/>
      <c r="J212" s="4757" t="str">
        <f>I200&amp;".1"</f>
        <v>7.1.1.1.1</v>
      </c>
      <c r="K212" s="1967"/>
      <c r="L212" s="1968"/>
      <c r="M212" s="1969"/>
      <c r="N212" s="1969"/>
      <c r="O212" s="1969"/>
      <c r="P212" s="4758"/>
      <c r="Q212" s="4758"/>
      <c r="R212" s="1994"/>
      <c r="S212" s="2684"/>
      <c r="T212" s="2685" t="s">
        <v>624</v>
      </c>
      <c r="U212" s="2686"/>
      <c r="V212" s="2687"/>
      <c r="W212" s="2688"/>
      <c r="X212" s="2689"/>
      <c r="Y212" s="2690"/>
      <c r="Z212" s="2691"/>
      <c r="AA212" s="2692"/>
      <c r="AB212" s="2693"/>
      <c r="AC212" s="2694"/>
      <c r="AD212" s="2695"/>
      <c r="AE212" s="2696"/>
      <c r="AF212" s="2697"/>
      <c r="AG212" s="2698"/>
      <c r="AH212" s="2699"/>
      <c r="AI212" s="2700"/>
      <c r="AJ212" s="2701"/>
      <c r="AK212" s="2013" t="s">
        <v>625</v>
      </c>
      <c r="AL212" s="1978"/>
      <c r="AM212" s="1979"/>
      <c r="AN212" s="1979" t="str">
        <f t="shared" si="3"/>
        <v>Добавить значение признака дифференциации</v>
      </c>
      <c r="AO212" s="1979"/>
      <c r="AP212" s="1979"/>
    </row>
    <row r="213" spans="1:42" s="2702" customFormat="1" ht="23.25" customHeight="1">
      <c r="A213" s="1967"/>
      <c r="B213" s="1967"/>
      <c r="C213" s="1967"/>
      <c r="D213" s="1967"/>
      <c r="E213" s="4760"/>
      <c r="F213" s="4760"/>
      <c r="G213" s="4760"/>
      <c r="H213" s="4760"/>
      <c r="I213" s="4780"/>
      <c r="J213" s="4757" t="str">
        <f>I200&amp;".3"</f>
        <v>7.1.1.1.3</v>
      </c>
      <c r="K213" s="1967"/>
      <c r="L213" s="1968" t="s">
        <v>547</v>
      </c>
      <c r="M213" s="1969"/>
      <c r="N213" s="1969"/>
      <c r="O213" s="1969"/>
      <c r="P213" s="4758"/>
      <c r="Q213" s="4833" t="s">
        <v>102</v>
      </c>
      <c r="R213" s="1981"/>
      <c r="S213" s="1972" t="str">
        <f>$J213</f>
        <v>7.1.1.1.3</v>
      </c>
      <c r="T213" s="1987" t="s">
        <v>548</v>
      </c>
      <c r="U213" s="1974"/>
      <c r="V213" s="4748"/>
      <c r="W213" s="4749"/>
      <c r="X213" s="4749"/>
      <c r="Y213" s="4749"/>
      <c r="Z213" s="4749"/>
      <c r="AA213" s="4749"/>
      <c r="AB213" s="4750"/>
      <c r="AC213" s="4748" t="s">
        <v>661</v>
      </c>
      <c r="AD213" s="4749"/>
      <c r="AE213" s="4749"/>
      <c r="AF213" s="4749"/>
      <c r="AG213" s="4749"/>
      <c r="AH213" s="4749"/>
      <c r="AI213" s="4749"/>
      <c r="AJ213" s="4750"/>
      <c r="AK213" s="1988" t="s">
        <v>623</v>
      </c>
      <c r="AL213" s="1978"/>
      <c r="AM213" s="1979"/>
      <c r="AN213" s="1979" t="str">
        <f t="shared" si="3"/>
        <v>Группа потребителей</v>
      </c>
      <c r="AO213" s="1979"/>
      <c r="AP213" s="1979"/>
    </row>
    <row r="214" spans="1:42" s="2703" customFormat="1" ht="23.25" customHeight="1">
      <c r="A214" s="1967"/>
      <c r="B214" s="1967"/>
      <c r="C214" s="1967"/>
      <c r="D214" s="1967"/>
      <c r="E214" s="4760"/>
      <c r="F214" s="4760"/>
      <c r="G214" s="4760"/>
      <c r="H214" s="4760"/>
      <c r="I214" s="4780"/>
      <c r="J214" s="4780" t="str">
        <f>I200&amp;".2"</f>
        <v>7.1.1.1.2</v>
      </c>
      <c r="K214" s="4757" t="str">
        <f>J213&amp;".1"</f>
        <v>7.1.1.1.3.1</v>
      </c>
      <c r="L214" s="1968"/>
      <c r="M214" s="1969"/>
      <c r="N214" s="1969"/>
      <c r="O214" s="1969"/>
      <c r="P214" s="4758"/>
      <c r="Q214" s="4758"/>
      <c r="R214" s="1981">
        <v>1</v>
      </c>
      <c r="S214" s="1972" t="str">
        <f>$K214</f>
        <v>7.1.1.1.3.1</v>
      </c>
      <c r="T214" s="1973" t="s">
        <v>660</v>
      </c>
      <c r="U214" s="1974"/>
      <c r="V214" s="1975"/>
      <c r="W214" s="1975"/>
      <c r="X214" s="1976"/>
      <c r="Y214" s="4762"/>
      <c r="Z214" s="4608" t="s">
        <v>65</v>
      </c>
      <c r="AA214" s="4762"/>
      <c r="AB214" s="4608" t="s">
        <v>65</v>
      </c>
      <c r="AC214" s="1975">
        <v>86.08</v>
      </c>
      <c r="AD214" s="1975"/>
      <c r="AE214" s="1976"/>
      <c r="AF214" s="4762">
        <v>45292</v>
      </c>
      <c r="AG214" s="4608" t="s">
        <v>65</v>
      </c>
      <c r="AH214" s="4781">
        <v>45473</v>
      </c>
      <c r="AI214" s="4608" t="s">
        <v>65</v>
      </c>
      <c r="AJ214" s="1977"/>
      <c r="AK21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4" s="1978" t="e">
        <f ca="1">STRCHECKDATE(V215:AJ215)</f>
        <v>#NAME?</v>
      </c>
      <c r="AM214" s="1979"/>
      <c r="AN214" s="1979" t="str">
        <f t="shared" si="3"/>
        <v>Потребители, кроме населения (без учета НДС)</v>
      </c>
      <c r="AO214" s="1979"/>
      <c r="AP214" s="1979"/>
    </row>
    <row r="215" spans="1:42" s="2704" customFormat="1" ht="14.25" customHeight="1">
      <c r="A215" s="1967"/>
      <c r="B215" s="1967"/>
      <c r="C215" s="1967"/>
      <c r="D215" s="1967"/>
      <c r="E215" s="4760"/>
      <c r="F215" s="4760"/>
      <c r="G215" s="4760"/>
      <c r="H215" s="4760"/>
      <c r="I215" s="4780"/>
      <c r="J215" s="4780" t="str">
        <f>I200&amp;".2"</f>
        <v>7.1.1.1.2</v>
      </c>
      <c r="K215" s="4757"/>
      <c r="L215" s="1968"/>
      <c r="M215" s="1969"/>
      <c r="N215" s="1969"/>
      <c r="O215" s="1969"/>
      <c r="P215" s="4758"/>
      <c r="Q215" s="4758"/>
      <c r="R215" s="1981"/>
      <c r="S215" s="1982"/>
      <c r="T215" s="1974"/>
      <c r="U215" s="1974"/>
      <c r="V215" s="1983"/>
      <c r="W215" s="1983"/>
      <c r="X215" s="1984" t="str">
        <f>Y214&amp;"-"&amp;AA214</f>
        <v>-</v>
      </c>
      <c r="Y215" s="4763"/>
      <c r="Z215" s="4608"/>
      <c r="AA215" s="4763"/>
      <c r="AB215" s="4608"/>
      <c r="AC215" s="1983"/>
      <c r="AD215" s="1983"/>
      <c r="AE215" s="1984" t="str">
        <f>AF214&amp;"-"&amp;AH214</f>
        <v>45292-45473</v>
      </c>
      <c r="AF215" s="4763"/>
      <c r="AG215" s="4608"/>
      <c r="AH215" s="4782"/>
      <c r="AI215" s="4608"/>
      <c r="AJ215" s="1985"/>
      <c r="AK215" s="4817"/>
      <c r="AL215" s="1978"/>
      <c r="AM215" s="1979"/>
      <c r="AN215" s="1979" t="str">
        <f t="shared" si="3"/>
        <v/>
      </c>
      <c r="AO215" s="1979"/>
      <c r="AP215" s="1979"/>
    </row>
    <row r="216" spans="1:42" s="2705" customFormat="1" ht="23.25" customHeight="1">
      <c r="A216" s="1967"/>
      <c r="B216" s="1967"/>
      <c r="C216" s="1967"/>
      <c r="D216" s="1967"/>
      <c r="E216" s="4760"/>
      <c r="F216" s="4760"/>
      <c r="G216" s="4760"/>
      <c r="H216" s="4760"/>
      <c r="I216" s="4780"/>
      <c r="J216" s="4780"/>
      <c r="K216" s="4757" t="str">
        <f>J213&amp;".2"</f>
        <v>7.1.1.1.3.2</v>
      </c>
      <c r="L216" s="1968"/>
      <c r="M216" s="1969"/>
      <c r="N216" s="1969"/>
      <c r="O216" s="1969"/>
      <c r="P216" s="4758"/>
      <c r="Q216" s="4758"/>
      <c r="R216" s="1971" t="s">
        <v>102</v>
      </c>
      <c r="S216" s="1972" t="str">
        <f>$K216</f>
        <v>7.1.1.1.3.2</v>
      </c>
      <c r="T216" s="1973" t="s">
        <v>660</v>
      </c>
      <c r="U216" s="1974"/>
      <c r="V216" s="1975"/>
      <c r="W216" s="1975"/>
      <c r="X216" s="1976"/>
      <c r="Y216" s="4762"/>
      <c r="Z216" s="4608" t="s">
        <v>65</v>
      </c>
      <c r="AA216" s="4762"/>
      <c r="AB216" s="4608" t="s">
        <v>65</v>
      </c>
      <c r="AC216" s="1975">
        <v>54.64</v>
      </c>
      <c r="AD216" s="1975"/>
      <c r="AE216" s="1976"/>
      <c r="AF216" s="4762">
        <v>45474</v>
      </c>
      <c r="AG216" s="4608" t="s">
        <v>65</v>
      </c>
      <c r="AH216" s="4781">
        <v>45657</v>
      </c>
      <c r="AI216" s="4608" t="s">
        <v>65</v>
      </c>
      <c r="AJ216" s="1977"/>
      <c r="AK21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6" s="1978" t="e">
        <f ca="1">STRCHECKDATE(V217:AJ217)</f>
        <v>#NAME?</v>
      </c>
      <c r="AM216" s="1979"/>
      <c r="AN216" s="1979" t="str">
        <f t="shared" si="3"/>
        <v>Потребители, кроме населения (без учета НДС)</v>
      </c>
      <c r="AO216" s="1979"/>
      <c r="AP216" s="1979"/>
    </row>
    <row r="217" spans="1:42" s="2706" customFormat="1" ht="14.25" customHeight="1">
      <c r="A217" s="1967"/>
      <c r="B217" s="1967"/>
      <c r="C217" s="1967"/>
      <c r="D217" s="1967"/>
      <c r="E217" s="4760"/>
      <c r="F217" s="4760"/>
      <c r="G217" s="4760"/>
      <c r="H217" s="4760"/>
      <c r="I217" s="4780"/>
      <c r="J217" s="4780"/>
      <c r="K217" s="4757" t="str">
        <f>J213&amp;".1"</f>
        <v>7.1.1.1.3.1</v>
      </c>
      <c r="L217" s="1968"/>
      <c r="M217" s="1969"/>
      <c r="N217" s="1969"/>
      <c r="O217" s="1969"/>
      <c r="P217" s="4758"/>
      <c r="Q217" s="4758"/>
      <c r="R217" s="1981"/>
      <c r="S217" s="1982"/>
      <c r="T217" s="1974"/>
      <c r="U217" s="1974"/>
      <c r="V217" s="1983"/>
      <c r="W217" s="1983"/>
      <c r="X217" s="1984" t="str">
        <f>Y216&amp;"-"&amp;AA216</f>
        <v>-</v>
      </c>
      <c r="Y217" s="4763"/>
      <c r="Z217" s="4608"/>
      <c r="AA217" s="4763"/>
      <c r="AB217" s="4608"/>
      <c r="AC217" s="1983"/>
      <c r="AD217" s="1983"/>
      <c r="AE217" s="1984" t="str">
        <f>AF216&amp;"-"&amp;AH216</f>
        <v>45474-45657</v>
      </c>
      <c r="AF217" s="4763"/>
      <c r="AG217" s="4608"/>
      <c r="AH217" s="4782"/>
      <c r="AI217" s="4608"/>
      <c r="AJ217" s="1985"/>
      <c r="AK217" s="4817"/>
      <c r="AL217" s="1978"/>
      <c r="AM217" s="1979"/>
      <c r="AN217" s="1979" t="str">
        <f t="shared" si="3"/>
        <v/>
      </c>
      <c r="AO217" s="1979"/>
      <c r="AP217" s="1979"/>
    </row>
    <row r="218" spans="1:42" s="2707" customFormat="1" ht="21" customHeight="1">
      <c r="A218" s="1967"/>
      <c r="B218" s="1967"/>
      <c r="C218" s="1967"/>
      <c r="D218" s="1967"/>
      <c r="E218" s="4760"/>
      <c r="F218" s="4760"/>
      <c r="G218" s="4760"/>
      <c r="H218" s="4760"/>
      <c r="I218" s="4780"/>
      <c r="J218" s="4757" t="str">
        <f>I200&amp;".2"</f>
        <v>7.1.1.1.2</v>
      </c>
      <c r="K218" s="1967"/>
      <c r="L218" s="1968"/>
      <c r="M218" s="1969"/>
      <c r="N218" s="1969"/>
      <c r="O218" s="1969"/>
      <c r="P218" s="4758"/>
      <c r="Q218" s="4758"/>
      <c r="R218" s="1994"/>
      <c r="S218" s="2708"/>
      <c r="T218" s="2709" t="s">
        <v>624</v>
      </c>
      <c r="U218" s="2710"/>
      <c r="V218" s="2711"/>
      <c r="W218" s="2712"/>
      <c r="X218" s="2713"/>
      <c r="Y218" s="2714"/>
      <c r="Z218" s="2715"/>
      <c r="AA218" s="2716"/>
      <c r="AB218" s="2717"/>
      <c r="AC218" s="2718"/>
      <c r="AD218" s="2719"/>
      <c r="AE218" s="2720"/>
      <c r="AF218" s="2721"/>
      <c r="AG218" s="2722"/>
      <c r="AH218" s="2723"/>
      <c r="AI218" s="2724"/>
      <c r="AJ218" s="2725"/>
      <c r="AK218" s="2013" t="s">
        <v>625</v>
      </c>
      <c r="AL218" s="1978"/>
      <c r="AM218" s="1979"/>
      <c r="AN218" s="1979" t="str">
        <f t="shared" si="3"/>
        <v>Добавить значение признака дифференциации</v>
      </c>
      <c r="AO218" s="1979"/>
      <c r="AP218" s="1979"/>
    </row>
    <row r="219" spans="1:42" s="2726" customFormat="1" ht="21" customHeight="1">
      <c r="A219" s="1967"/>
      <c r="B219" s="1967"/>
      <c r="C219" s="1967"/>
      <c r="D219" s="1967"/>
      <c r="E219" s="4760" t="s">
        <v>90</v>
      </c>
      <c r="F219" s="4760"/>
      <c r="G219" s="4760"/>
      <c r="H219" s="4760"/>
      <c r="I219" s="4757"/>
      <c r="J219" s="1967"/>
      <c r="K219" s="1967"/>
      <c r="L219" s="1968"/>
      <c r="M219" s="1969"/>
      <c r="N219" s="1969"/>
      <c r="O219" s="1969"/>
      <c r="P219" s="4758"/>
      <c r="Q219" s="1970"/>
      <c r="R219" s="1994"/>
      <c r="S219" s="2727"/>
      <c r="T219" s="2728" t="s">
        <v>553</v>
      </c>
      <c r="U219" s="2729"/>
      <c r="V219" s="2730"/>
      <c r="W219" s="2731"/>
      <c r="X219" s="2732"/>
      <c r="Y219" s="2733"/>
      <c r="Z219" s="2734"/>
      <c r="AA219" s="2735"/>
      <c r="AB219" s="2736"/>
      <c r="AC219" s="2737"/>
      <c r="AD219" s="2738"/>
      <c r="AE219" s="2739"/>
      <c r="AF219" s="2740"/>
      <c r="AG219" s="2741"/>
      <c r="AH219" s="2742"/>
      <c r="AI219" s="2743"/>
      <c r="AJ219" s="2744"/>
      <c r="AK219" s="2745"/>
      <c r="AL219" s="1978"/>
      <c r="AM219" s="1979"/>
      <c r="AN219" s="1979" t="str">
        <f t="shared" si="3"/>
        <v>Добавить группу потребителей</v>
      </c>
      <c r="AO219" s="1979"/>
      <c r="AP219" s="1979"/>
    </row>
    <row r="220" spans="1:42" s="2746" customFormat="1" ht="21" customHeight="1">
      <c r="A220" s="1967"/>
      <c r="B220" s="1967"/>
      <c r="C220" s="1967"/>
      <c r="D220" s="1967"/>
      <c r="E220" s="4760" t="s">
        <v>90</v>
      </c>
      <c r="F220" s="4760"/>
      <c r="G220" s="4760"/>
      <c r="H220" s="4759"/>
      <c r="I220" s="1967"/>
      <c r="J220" s="1967"/>
      <c r="K220" s="1967"/>
      <c r="L220" s="1968"/>
      <c r="M220" s="2039"/>
      <c r="N220" s="2039"/>
      <c r="O220" s="2147"/>
      <c r="P220" s="2041"/>
      <c r="Q220" s="2148"/>
      <c r="R220" s="2042"/>
      <c r="S220" s="2747"/>
      <c r="T220" s="2748" t="s">
        <v>626</v>
      </c>
      <c r="U220" s="2749"/>
      <c r="V220" s="2750"/>
      <c r="W220" s="2751"/>
      <c r="X220" s="2752"/>
      <c r="Y220" s="2753"/>
      <c r="Z220" s="2754"/>
      <c r="AA220" s="2755"/>
      <c r="AB220" s="2756"/>
      <c r="AC220" s="2757"/>
      <c r="AD220" s="2758"/>
      <c r="AE220" s="2759"/>
      <c r="AF220" s="2760"/>
      <c r="AG220" s="2761"/>
      <c r="AH220" s="2762"/>
      <c r="AI220" s="2763"/>
      <c r="AJ220" s="2764"/>
      <c r="AK220" s="2765"/>
      <c r="AL220" s="1978"/>
      <c r="AM220" s="1979"/>
      <c r="AN220" s="1979" t="str">
        <f t="shared" si="3"/>
        <v>Добавить наименование признака дифференциации</v>
      </c>
      <c r="AO220" s="1979"/>
      <c r="AP220" s="1979"/>
    </row>
    <row r="221" spans="1:42" s="2766" customFormat="1" ht="14.25" customHeight="1">
      <c r="A221" s="2169"/>
      <c r="B221" s="2169"/>
      <c r="C221" s="2169"/>
      <c r="D221" s="2169"/>
      <c r="E221" s="4760" t="s">
        <v>90</v>
      </c>
      <c r="F221" s="4759"/>
      <c r="G221" s="2169"/>
      <c r="H221" s="2169"/>
      <c r="I221" s="2169"/>
      <c r="J221" s="2169"/>
      <c r="K221" s="2169"/>
      <c r="L221" s="2170"/>
      <c r="M221" s="2171"/>
      <c r="N221" s="2171"/>
      <c r="O221" s="1978"/>
      <c r="P221" s="2172"/>
      <c r="Q221" s="2173"/>
      <c r="R221" s="2172"/>
      <c r="S221" s="2174"/>
      <c r="T221" s="2175" t="s">
        <v>316</v>
      </c>
      <c r="U221" s="2176"/>
      <c r="V221" s="2176"/>
      <c r="W221" s="2176"/>
      <c r="X221" s="2176"/>
      <c r="Y221" s="2176"/>
      <c r="Z221" s="2176"/>
      <c r="AA221" s="2176"/>
      <c r="AB221" s="2176"/>
      <c r="AC221" s="2176"/>
      <c r="AD221" s="2176"/>
      <c r="AE221" s="2176"/>
      <c r="AF221" s="2176"/>
      <c r="AG221" s="2176"/>
      <c r="AH221" s="2176"/>
      <c r="AI221" s="2176"/>
      <c r="AJ221" s="2176"/>
      <c r="AK221" s="2176"/>
      <c r="AL221" s="1978"/>
      <c r="AM221" s="1979"/>
      <c r="AN221" s="1979" t="str">
        <f t="shared" si="3"/>
        <v>Добавить централизованную систему для дифференциации</v>
      </c>
      <c r="AO221" s="1979"/>
      <c r="AP221" s="1979"/>
    </row>
    <row r="222" spans="1:42" s="2767" customFormat="1" ht="14.25" customHeight="1">
      <c r="A222" s="2169"/>
      <c r="B222" s="2169"/>
      <c r="C222" s="2169"/>
      <c r="D222" s="2169"/>
      <c r="E222" s="4759" t="s">
        <v>90</v>
      </c>
      <c r="F222" s="2169"/>
      <c r="G222" s="2169"/>
      <c r="H222" s="2169"/>
      <c r="I222" s="2169"/>
      <c r="J222" s="2169"/>
      <c r="K222" s="2169"/>
      <c r="L222" s="2170"/>
      <c r="M222" s="2171"/>
      <c r="N222" s="2171"/>
      <c r="O222" s="1978"/>
      <c r="P222" s="2172"/>
      <c r="Q222" s="2173"/>
      <c r="R222" s="2172"/>
      <c r="S222" s="2174"/>
      <c r="T222" s="2175" t="s">
        <v>317</v>
      </c>
      <c r="U222" s="2176"/>
      <c r="V222" s="2176"/>
      <c r="W222" s="2176"/>
      <c r="X222" s="2176"/>
      <c r="Y222" s="2176"/>
      <c r="Z222" s="2176"/>
      <c r="AA222" s="2176"/>
      <c r="AB222" s="2176"/>
      <c r="AC222" s="2176"/>
      <c r="AD222" s="2176"/>
      <c r="AE222" s="2176"/>
      <c r="AF222" s="2176"/>
      <c r="AG222" s="2176"/>
      <c r="AH222" s="2176"/>
      <c r="AI222" s="2176"/>
      <c r="AJ222" s="2176"/>
      <c r="AK222" s="2176"/>
      <c r="AL222" s="1978"/>
      <c r="AM222" s="1979"/>
      <c r="AN222" s="1979" t="str">
        <f t="shared" si="3"/>
        <v>Добавить территорию для дифференциации</v>
      </c>
      <c r="AO222" s="1979"/>
      <c r="AP222" s="1979"/>
    </row>
    <row r="223" spans="1:42" s="2768" customFormat="1" ht="23.25" customHeight="1">
      <c r="A223" s="1967" t="s">
        <v>349</v>
      </c>
      <c r="B223" s="1967"/>
      <c r="C223" s="1967"/>
      <c r="D223" s="1967"/>
      <c r="E223" s="4759" t="s">
        <v>138</v>
      </c>
      <c r="F223" s="1967"/>
      <c r="G223" s="1967"/>
      <c r="H223" s="1967"/>
      <c r="I223" s="1967"/>
      <c r="J223" s="1967"/>
      <c r="K223" s="1967"/>
      <c r="L223" s="1968"/>
      <c r="M223" s="2039"/>
      <c r="N223" s="2039"/>
      <c r="O223" s="2039"/>
      <c r="P223" s="2040"/>
      <c r="Q223" s="2041"/>
      <c r="R223" s="2042"/>
      <c r="S223" s="1972" t="str">
        <f>INDEX(PT_DIFFERENTIATION_NUM_NTAR,MATCH(A223,PT_DIFFERENTIATION_NTAR_ID,0))</f>
        <v>8</v>
      </c>
      <c r="T223" s="2043" t="s">
        <v>185</v>
      </c>
      <c r="U223" s="1974"/>
      <c r="V223" s="4745"/>
      <c r="W223" s="4746"/>
      <c r="X223" s="4746"/>
      <c r="Y223" s="4746"/>
      <c r="Z223" s="4746"/>
      <c r="AA223" s="4746"/>
      <c r="AB223" s="4747"/>
      <c r="AC223" s="4745" t="str">
        <f>INDEX(PT_DIFFERENTIATION_NTAR,MATCH(A223,PT_DIFFERENTIATION_NTAR_ID,0))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AD223" s="4746"/>
      <c r="AE223" s="4746"/>
      <c r="AF223" s="4746"/>
      <c r="AG223" s="4746"/>
      <c r="AH223" s="4746"/>
      <c r="AI223" s="4746"/>
      <c r="AJ223" s="4747"/>
      <c r="AK223"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23" s="1978"/>
      <c r="AM223" s="1979"/>
      <c r="AN223" s="1979" t="str">
        <f t="shared" si="3"/>
        <v>Наименование тарифа</v>
      </c>
      <c r="AO223" s="1979"/>
      <c r="AP223" s="1979"/>
    </row>
    <row r="224" spans="1:42" s="2769" customFormat="1" ht="23.25" customHeight="1">
      <c r="A224" s="1967"/>
      <c r="B224" s="1967" t="s">
        <v>350</v>
      </c>
      <c r="C224" s="1967"/>
      <c r="D224" s="1967"/>
      <c r="E224" s="4760" t="s">
        <v>91</v>
      </c>
      <c r="F224" s="4759">
        <v>1</v>
      </c>
      <c r="G224" s="1967"/>
      <c r="H224" s="1967"/>
      <c r="I224" s="1967"/>
      <c r="J224" s="1967"/>
      <c r="K224" s="1967"/>
      <c r="L224" s="1968"/>
      <c r="M224" s="2039"/>
      <c r="N224" s="2039"/>
      <c r="O224" s="2039"/>
      <c r="P224" s="2045"/>
      <c r="Q224" s="2046"/>
      <c r="R224" s="2047"/>
      <c r="S224" s="1972" t="str">
        <f>INDEX(PT_DIFFERENTIATION_NUM_TER,MATCH(B224,PT_DIFFERENTIATION_TER_ID,0))</f>
        <v>8.1</v>
      </c>
      <c r="T224" s="2048" t="s">
        <v>538</v>
      </c>
      <c r="U224" s="1974"/>
      <c r="V224" s="4745"/>
      <c r="W224" s="4746"/>
      <c r="X224" s="4746"/>
      <c r="Y224" s="4746"/>
      <c r="Z224" s="4746"/>
      <c r="AA224" s="4746"/>
      <c r="AB224" s="4747"/>
      <c r="AC224" s="4745" t="str">
        <f>INDEX(PT_DIFFERENTIATION_TER,MATCH(B224,PT_DIFFERENTIATION_TER_ID,0))</f>
        <v>Территория 5</v>
      </c>
      <c r="AD224" s="4746"/>
      <c r="AE224" s="4746"/>
      <c r="AF224" s="4746"/>
      <c r="AG224" s="4746"/>
      <c r="AH224" s="4746"/>
      <c r="AI224" s="4746"/>
      <c r="AJ224" s="4747"/>
      <c r="AK224" s="2013" t="s">
        <v>539</v>
      </c>
      <c r="AL224" s="1978"/>
      <c r="AM224" s="1979"/>
      <c r="AN224" s="1979" t="str">
        <f t="shared" si="3"/>
        <v>Территория действия тарифа</v>
      </c>
      <c r="AO224" s="1979"/>
      <c r="AP224" s="1979"/>
    </row>
    <row r="225" spans="1:42" s="2770" customFormat="1" ht="23.25" customHeight="1">
      <c r="A225" s="1967"/>
      <c r="B225" s="1967"/>
      <c r="C225" s="1967" t="s">
        <v>351</v>
      </c>
      <c r="D225" s="1967"/>
      <c r="E225" s="4760" t="s">
        <v>91</v>
      </c>
      <c r="F225" s="4760"/>
      <c r="G225" s="4759">
        <v>1</v>
      </c>
      <c r="H225" s="1967"/>
      <c r="I225" s="1967"/>
      <c r="J225" s="1967"/>
      <c r="K225" s="1967"/>
      <c r="L225" s="1968"/>
      <c r="M225" s="2039"/>
      <c r="N225" s="2039"/>
      <c r="O225" s="2039"/>
      <c r="P225" s="2050"/>
      <c r="Q225" s="2046"/>
      <c r="R225" s="2047"/>
      <c r="S225" s="1972" t="str">
        <f>INDEX(PT_DIFFERENTIATION_NUM_CS,MATCH(C225,PT_DIFFERENTIATION_CS_ID,0))</f>
        <v>8.1.1</v>
      </c>
      <c r="T225" s="2051" t="s">
        <v>652</v>
      </c>
      <c r="U225" s="1974"/>
      <c r="V225" s="4745"/>
      <c r="W225" s="4746"/>
      <c r="X225" s="4746"/>
      <c r="Y225" s="4746"/>
      <c r="Z225" s="4746"/>
      <c r="AA225" s="4746"/>
      <c r="AB225" s="4747"/>
      <c r="AC225" s="4745" t="str">
        <f>INDEX(PT_DIFFERENTIATION_CS,MATCH(C225,PT_DIFFERENTIATION_CS_ID,0))</f>
        <v>без дифференциации</v>
      </c>
      <c r="AD225" s="4746"/>
      <c r="AE225" s="4746"/>
      <c r="AF225" s="4746"/>
      <c r="AG225" s="4746"/>
      <c r="AH225" s="4746"/>
      <c r="AI225" s="4746"/>
      <c r="AJ225" s="4747"/>
      <c r="AK225" s="2013" t="s">
        <v>653</v>
      </c>
      <c r="AL225" s="1978"/>
      <c r="AM225" s="1979"/>
      <c r="AN225" s="1979" t="str">
        <f t="shared" si="3"/>
        <v>Наименование централизованной системы водоотведения</v>
      </c>
      <c r="AO225" s="1979"/>
      <c r="AP225" s="1979"/>
    </row>
    <row r="226" spans="1:42" s="2771" customFormat="1" ht="23.25" customHeight="1">
      <c r="A226" s="1967"/>
      <c r="B226" s="1967"/>
      <c r="C226" s="1967"/>
      <c r="D226" s="1967"/>
      <c r="E226" s="4760" t="s">
        <v>91</v>
      </c>
      <c r="F226" s="4760"/>
      <c r="G226" s="4760"/>
      <c r="H226" s="4760"/>
      <c r="I226" s="4757" t="str">
        <f>S225&amp;".1"</f>
        <v>8.1.1.1</v>
      </c>
      <c r="J226" s="1967"/>
      <c r="K226" s="1967"/>
      <c r="L226" s="1968"/>
      <c r="M226" s="1969"/>
      <c r="N226" s="1969"/>
      <c r="O226" s="1969"/>
      <c r="P226" s="4758">
        <v>1</v>
      </c>
      <c r="Q226" s="1970"/>
      <c r="R226" s="1994"/>
      <c r="S226" s="1972" t="str">
        <f>$I226</f>
        <v>8.1.1.1</v>
      </c>
      <c r="T226" s="2053" t="s">
        <v>621</v>
      </c>
      <c r="U226" s="1974"/>
      <c r="V226" s="4818"/>
      <c r="W226" s="4819"/>
      <c r="X226" s="4819"/>
      <c r="Y226" s="4819"/>
      <c r="Z226" s="4819"/>
      <c r="AA226" s="4819"/>
      <c r="AB226" s="4820"/>
      <c r="AC226" s="4821"/>
      <c r="AD226" s="4822"/>
      <c r="AE226" s="4822"/>
      <c r="AF226" s="4822"/>
      <c r="AG226" s="4822"/>
      <c r="AH226" s="4822"/>
      <c r="AI226" s="4822"/>
      <c r="AJ226" s="4823"/>
      <c r="AK226" s="2013" t="s">
        <v>622</v>
      </c>
      <c r="AL226" s="1978"/>
      <c r="AM226" s="1979"/>
      <c r="AN226" s="1979" t="str">
        <f t="shared" si="3"/>
        <v>Наименование признака дифференциации</v>
      </c>
      <c r="AO226" s="1979"/>
      <c r="AP226" s="1979"/>
    </row>
    <row r="227" spans="1:42" s="2772" customFormat="1" ht="23.25" customHeight="1">
      <c r="A227" s="1967"/>
      <c r="B227" s="1967"/>
      <c r="C227" s="1967"/>
      <c r="D227" s="1967"/>
      <c r="E227" s="4760" t="s">
        <v>91</v>
      </c>
      <c r="F227" s="4760"/>
      <c r="G227" s="4760"/>
      <c r="H227" s="4760"/>
      <c r="I227" s="4780"/>
      <c r="J227" s="4757" t="str">
        <f>I226&amp;".1"</f>
        <v>8.1.1.1.1</v>
      </c>
      <c r="K227" s="1967"/>
      <c r="L227" s="1968" t="s">
        <v>547</v>
      </c>
      <c r="M227" s="1969"/>
      <c r="N227" s="1969"/>
      <c r="O227" s="1969"/>
      <c r="P227" s="4758"/>
      <c r="Q227" s="4758">
        <v>1</v>
      </c>
      <c r="R227" s="1981"/>
      <c r="S227" s="1972" t="str">
        <f>$J227</f>
        <v>8.1.1.1.1</v>
      </c>
      <c r="T227" s="1987" t="s">
        <v>548</v>
      </c>
      <c r="U227" s="1974"/>
      <c r="V227" s="4748"/>
      <c r="W227" s="4749"/>
      <c r="X227" s="4749"/>
      <c r="Y227" s="4749"/>
      <c r="Z227" s="4749"/>
      <c r="AA227" s="4749"/>
      <c r="AB227" s="4750"/>
      <c r="AC227" s="4748" t="s">
        <v>657</v>
      </c>
      <c r="AD227" s="4749"/>
      <c r="AE227" s="4749"/>
      <c r="AF227" s="4749"/>
      <c r="AG227" s="4749"/>
      <c r="AH227" s="4749"/>
      <c r="AI227" s="4749"/>
      <c r="AJ227" s="4750"/>
      <c r="AK227" s="1988" t="s">
        <v>623</v>
      </c>
      <c r="AL227" s="1978"/>
      <c r="AM227" s="1979"/>
      <c r="AN227" s="1979" t="str">
        <f t="shared" si="3"/>
        <v>Группа потребителей</v>
      </c>
      <c r="AO227" s="1979"/>
      <c r="AP227" s="1979"/>
    </row>
    <row r="228" spans="1:42" s="2773" customFormat="1" ht="23.25" customHeight="1">
      <c r="A228" s="1967"/>
      <c r="B228" s="1967"/>
      <c r="C228" s="1967"/>
      <c r="D228" s="1967"/>
      <c r="E228" s="4760" t="s">
        <v>91</v>
      </c>
      <c r="F228" s="4760"/>
      <c r="G228" s="4760"/>
      <c r="H228" s="4760"/>
      <c r="I228" s="4780"/>
      <c r="J228" s="4780"/>
      <c r="K228" s="4757" t="str">
        <f>J227&amp;".1"</f>
        <v>8.1.1.1.1.1</v>
      </c>
      <c r="L228" s="1968"/>
      <c r="M228" s="1969"/>
      <c r="N228" s="1969"/>
      <c r="O228" s="1969"/>
      <c r="P228" s="4758"/>
      <c r="Q228" s="4758"/>
      <c r="R228" s="1981">
        <v>1</v>
      </c>
      <c r="S228" s="1972" t="str">
        <f>$K228</f>
        <v>8.1.1.1.1.1</v>
      </c>
      <c r="T228" s="1973" t="s">
        <v>658</v>
      </c>
      <c r="U228" s="1974"/>
      <c r="V228" s="1975"/>
      <c r="W228" s="1975"/>
      <c r="X228" s="1976"/>
      <c r="Y228" s="4762"/>
      <c r="Z228" s="4608" t="s">
        <v>65</v>
      </c>
      <c r="AA228" s="4762"/>
      <c r="AB228" s="4608" t="s">
        <v>65</v>
      </c>
      <c r="AC228" s="1975">
        <v>29.02</v>
      </c>
      <c r="AD228" s="1975"/>
      <c r="AE228" s="1976"/>
      <c r="AF228" s="4762">
        <v>45292</v>
      </c>
      <c r="AG228" s="4608" t="s">
        <v>65</v>
      </c>
      <c r="AH228" s="4781">
        <v>45473</v>
      </c>
      <c r="AI228" s="4608" t="s">
        <v>65</v>
      </c>
      <c r="AJ228" s="1977"/>
      <c r="AK22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8" s="1978" t="e">
        <f ca="1">STRCHECKDATE(V229:AJ229)</f>
        <v>#NAME?</v>
      </c>
      <c r="AM228" s="1979"/>
      <c r="AN228" s="1979" t="str">
        <f t="shared" si="3"/>
        <v>Население (с учетом НДС)</v>
      </c>
      <c r="AO228" s="1979"/>
      <c r="AP228" s="1979"/>
    </row>
    <row r="229" spans="1:42" s="2774" customFormat="1" ht="14.25" customHeight="1">
      <c r="A229" s="1967"/>
      <c r="B229" s="1967"/>
      <c r="C229" s="1967"/>
      <c r="D229" s="1967"/>
      <c r="E229" s="4760" t="s">
        <v>91</v>
      </c>
      <c r="F229" s="4760"/>
      <c r="G229" s="4760"/>
      <c r="H229" s="4760"/>
      <c r="I229" s="4780"/>
      <c r="J229" s="4780"/>
      <c r="K229" s="4757"/>
      <c r="L229" s="1968"/>
      <c r="M229" s="1969"/>
      <c r="N229" s="1969"/>
      <c r="O229" s="1969"/>
      <c r="P229" s="4758"/>
      <c r="Q229" s="4758"/>
      <c r="R229" s="1981"/>
      <c r="S229" s="1982"/>
      <c r="T229" s="1974"/>
      <c r="U229" s="1974"/>
      <c r="V229" s="1983"/>
      <c r="W229" s="1983"/>
      <c r="X229" s="1984" t="str">
        <f>Y228&amp;"-"&amp;AA228</f>
        <v>-</v>
      </c>
      <c r="Y229" s="4763"/>
      <c r="Z229" s="4608"/>
      <c r="AA229" s="4763"/>
      <c r="AB229" s="4608"/>
      <c r="AC229" s="1983"/>
      <c r="AD229" s="1983"/>
      <c r="AE229" s="1984" t="str">
        <f>AF228&amp;"-"&amp;AH228</f>
        <v>45292-45473</v>
      </c>
      <c r="AF229" s="4763"/>
      <c r="AG229" s="4608"/>
      <c r="AH229" s="4782"/>
      <c r="AI229" s="4608"/>
      <c r="AJ229" s="1985"/>
      <c r="AK229" s="4817"/>
      <c r="AL229" s="1978"/>
      <c r="AM229" s="1979"/>
      <c r="AN229" s="1979" t="str">
        <f t="shared" si="3"/>
        <v/>
      </c>
      <c r="AO229" s="1979"/>
      <c r="AP229" s="1979"/>
    </row>
    <row r="230" spans="1:42" s="2775" customFormat="1" ht="23.25" customHeight="1">
      <c r="A230" s="1967"/>
      <c r="B230" s="1967"/>
      <c r="C230" s="1967"/>
      <c r="D230" s="1967"/>
      <c r="E230" s="4760"/>
      <c r="F230" s="4760"/>
      <c r="G230" s="4760"/>
      <c r="H230" s="4760"/>
      <c r="I230" s="4780"/>
      <c r="J230" s="4780"/>
      <c r="K230" s="4757" t="str">
        <f>J227&amp;".2"</f>
        <v>8.1.1.1.1.2</v>
      </c>
      <c r="L230" s="1968"/>
      <c r="M230" s="1969"/>
      <c r="N230" s="1969"/>
      <c r="O230" s="1969"/>
      <c r="P230" s="4758"/>
      <c r="Q230" s="4758"/>
      <c r="R230" s="1971" t="s">
        <v>102</v>
      </c>
      <c r="S230" s="1972" t="str">
        <f>$K230</f>
        <v>8.1.1.1.1.2</v>
      </c>
      <c r="T230" s="1973" t="s">
        <v>658</v>
      </c>
      <c r="U230" s="1974"/>
      <c r="V230" s="1975"/>
      <c r="W230" s="1975"/>
      <c r="X230" s="1976"/>
      <c r="Y230" s="4762"/>
      <c r="Z230" s="4608" t="s">
        <v>65</v>
      </c>
      <c r="AA230" s="4762"/>
      <c r="AB230" s="4608" t="s">
        <v>65</v>
      </c>
      <c r="AC230" s="1975">
        <v>32.61</v>
      </c>
      <c r="AD230" s="1975"/>
      <c r="AE230" s="1976"/>
      <c r="AF230" s="4762">
        <v>45474</v>
      </c>
      <c r="AG230" s="4608" t="s">
        <v>65</v>
      </c>
      <c r="AH230" s="4781">
        <v>45657</v>
      </c>
      <c r="AI230" s="4608" t="s">
        <v>65</v>
      </c>
      <c r="AJ230" s="1977"/>
      <c r="AK23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0" s="1978" t="e">
        <f ca="1">STRCHECKDATE(V231:AJ231)</f>
        <v>#NAME?</v>
      </c>
      <c r="AM230" s="1979"/>
      <c r="AN230" s="1979" t="str">
        <f t="shared" si="3"/>
        <v>Население (с учетом НДС)</v>
      </c>
      <c r="AO230" s="1979"/>
      <c r="AP230" s="1979"/>
    </row>
    <row r="231" spans="1:42" s="2776" customFormat="1" ht="14.25" customHeight="1">
      <c r="A231" s="1967"/>
      <c r="B231" s="1967"/>
      <c r="C231" s="1967"/>
      <c r="D231" s="1967"/>
      <c r="E231" s="4760"/>
      <c r="F231" s="4760"/>
      <c r="G231" s="4760"/>
      <c r="H231" s="4760"/>
      <c r="I231" s="4780"/>
      <c r="J231" s="4780"/>
      <c r="K231" s="4757" t="str">
        <f>J227&amp;".1"</f>
        <v>8.1.1.1.1.1</v>
      </c>
      <c r="L231" s="1968"/>
      <c r="M231" s="1969"/>
      <c r="N231" s="1969"/>
      <c r="O231" s="1969"/>
      <c r="P231" s="4758"/>
      <c r="Q231" s="4758"/>
      <c r="R231" s="1981"/>
      <c r="S231" s="1982"/>
      <c r="T231" s="1974"/>
      <c r="U231" s="1974"/>
      <c r="V231" s="1983"/>
      <c r="W231" s="1983"/>
      <c r="X231" s="1984" t="str">
        <f>Y230&amp;"-"&amp;AA230</f>
        <v>-</v>
      </c>
      <c r="Y231" s="4763"/>
      <c r="Z231" s="4608"/>
      <c r="AA231" s="4763"/>
      <c r="AB231" s="4608"/>
      <c r="AC231" s="1983"/>
      <c r="AD231" s="1983"/>
      <c r="AE231" s="1984" t="str">
        <f>AF230&amp;"-"&amp;AH230</f>
        <v>45474-45657</v>
      </c>
      <c r="AF231" s="4763"/>
      <c r="AG231" s="4608"/>
      <c r="AH231" s="4782"/>
      <c r="AI231" s="4608"/>
      <c r="AJ231" s="1985"/>
      <c r="AK231" s="4817"/>
      <c r="AL231" s="1978"/>
      <c r="AM231" s="1979"/>
      <c r="AN231" s="1979" t="str">
        <f t="shared" si="3"/>
        <v/>
      </c>
      <c r="AO231" s="1979"/>
      <c r="AP231" s="1979"/>
    </row>
    <row r="232" spans="1:42" s="2777" customFormat="1" ht="21" customHeight="1">
      <c r="A232" s="1967"/>
      <c r="B232" s="1967"/>
      <c r="C232" s="1967"/>
      <c r="D232" s="1967"/>
      <c r="E232" s="4760" t="s">
        <v>91</v>
      </c>
      <c r="F232" s="4760"/>
      <c r="G232" s="4760"/>
      <c r="H232" s="4760"/>
      <c r="I232" s="4780"/>
      <c r="J232" s="4757"/>
      <c r="K232" s="1967"/>
      <c r="L232" s="1968"/>
      <c r="M232" s="1969"/>
      <c r="N232" s="1969"/>
      <c r="O232" s="1969"/>
      <c r="P232" s="4758"/>
      <c r="Q232" s="4758"/>
      <c r="R232" s="1994"/>
      <c r="S232" s="2778"/>
      <c r="T232" s="2779" t="s">
        <v>624</v>
      </c>
      <c r="U232" s="2780"/>
      <c r="V232" s="2781"/>
      <c r="W232" s="2782"/>
      <c r="X232" s="2783"/>
      <c r="Y232" s="2784"/>
      <c r="Z232" s="2785"/>
      <c r="AA232" s="2786"/>
      <c r="AB232" s="2787"/>
      <c r="AC232" s="2788"/>
      <c r="AD232" s="2789"/>
      <c r="AE232" s="2790"/>
      <c r="AF232" s="2791"/>
      <c r="AG232" s="2792"/>
      <c r="AH232" s="2793"/>
      <c r="AI232" s="2794"/>
      <c r="AJ232" s="2795"/>
      <c r="AK232" s="2013" t="s">
        <v>625</v>
      </c>
      <c r="AL232" s="1978"/>
      <c r="AM232" s="1979"/>
      <c r="AN232" s="1979" t="str">
        <f t="shared" si="3"/>
        <v>Добавить значение признака дифференциации</v>
      </c>
      <c r="AO232" s="1979"/>
      <c r="AP232" s="1979"/>
    </row>
    <row r="233" spans="1:42" s="2796" customFormat="1" ht="23.25" customHeight="1">
      <c r="A233" s="1967"/>
      <c r="B233" s="1967"/>
      <c r="C233" s="1967"/>
      <c r="D233" s="1967"/>
      <c r="E233" s="4760"/>
      <c r="F233" s="4760"/>
      <c r="G233" s="4760"/>
      <c r="H233" s="4760"/>
      <c r="I233" s="4780"/>
      <c r="J233" s="4757" t="str">
        <f>I226&amp;".2"</f>
        <v>8.1.1.1.2</v>
      </c>
      <c r="K233" s="1967"/>
      <c r="L233" s="1968" t="s">
        <v>547</v>
      </c>
      <c r="M233" s="1969"/>
      <c r="N233" s="1969"/>
      <c r="O233" s="1969"/>
      <c r="P233" s="4758"/>
      <c r="Q233" s="4833" t="s">
        <v>102</v>
      </c>
      <c r="R233" s="1981"/>
      <c r="S233" s="1972" t="str">
        <f>$J233</f>
        <v>8.1.1.1.2</v>
      </c>
      <c r="T233" s="1987" t="s">
        <v>548</v>
      </c>
      <c r="U233" s="1974"/>
      <c r="V233" s="4748"/>
      <c r="W233" s="4749"/>
      <c r="X233" s="4749"/>
      <c r="Y233" s="4749"/>
      <c r="Z233" s="4749"/>
      <c r="AA233" s="4749"/>
      <c r="AB233" s="4750"/>
      <c r="AC233" s="4748" t="s">
        <v>659</v>
      </c>
      <c r="AD233" s="4749"/>
      <c r="AE233" s="4749"/>
      <c r="AF233" s="4749"/>
      <c r="AG233" s="4749"/>
      <c r="AH233" s="4749"/>
      <c r="AI233" s="4749"/>
      <c r="AJ233" s="4750"/>
      <c r="AK233" s="1988" t="s">
        <v>623</v>
      </c>
      <c r="AL233" s="1978"/>
      <c r="AM233" s="1979"/>
      <c r="AN233" s="1979" t="str">
        <f t="shared" ref="AN233:AN296" si="4">IF(T233="","",T233)</f>
        <v>Группа потребителей</v>
      </c>
      <c r="AO233" s="1979"/>
      <c r="AP233" s="1979"/>
    </row>
    <row r="234" spans="1:42" s="2797" customFormat="1" ht="23.25" customHeight="1">
      <c r="A234" s="1967"/>
      <c r="B234" s="1967"/>
      <c r="C234" s="1967"/>
      <c r="D234" s="1967"/>
      <c r="E234" s="4760"/>
      <c r="F234" s="4760"/>
      <c r="G234" s="4760"/>
      <c r="H234" s="4760"/>
      <c r="I234" s="4780"/>
      <c r="J234" s="4780" t="str">
        <f>I226&amp;".1"</f>
        <v>8.1.1.1.1</v>
      </c>
      <c r="K234" s="4757" t="str">
        <f>J233&amp;".1"</f>
        <v>8.1.1.1.2.1</v>
      </c>
      <c r="L234" s="1968"/>
      <c r="M234" s="1969"/>
      <c r="N234" s="1969"/>
      <c r="O234" s="1969"/>
      <c r="P234" s="4758"/>
      <c r="Q234" s="4758"/>
      <c r="R234" s="1981">
        <v>1</v>
      </c>
      <c r="S234" s="1972" t="str">
        <f>$K234</f>
        <v>8.1.1.1.2.1</v>
      </c>
      <c r="T234" s="1973" t="s">
        <v>660</v>
      </c>
      <c r="U234" s="1974"/>
      <c r="V234" s="1975"/>
      <c r="W234" s="1975"/>
      <c r="X234" s="1976"/>
      <c r="Y234" s="4762"/>
      <c r="Z234" s="4608" t="s">
        <v>65</v>
      </c>
      <c r="AA234" s="4762"/>
      <c r="AB234" s="4608" t="s">
        <v>65</v>
      </c>
      <c r="AC234" s="1975">
        <v>86.08</v>
      </c>
      <c r="AD234" s="1975"/>
      <c r="AE234" s="1976"/>
      <c r="AF234" s="4762">
        <v>45292</v>
      </c>
      <c r="AG234" s="4608" t="s">
        <v>65</v>
      </c>
      <c r="AH234" s="4781">
        <v>45473</v>
      </c>
      <c r="AI234" s="4608" t="s">
        <v>65</v>
      </c>
      <c r="AJ234" s="1977"/>
      <c r="AK23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4" s="1978" t="e">
        <f ca="1">STRCHECKDATE(V235:AJ235)</f>
        <v>#NAME?</v>
      </c>
      <c r="AM234" s="1979"/>
      <c r="AN234" s="1979" t="str">
        <f t="shared" si="4"/>
        <v>Потребители, кроме населения (без учета НДС)</v>
      </c>
      <c r="AO234" s="1979"/>
      <c r="AP234" s="1979"/>
    </row>
    <row r="235" spans="1:42" s="2798" customFormat="1" ht="14.25" customHeight="1">
      <c r="A235" s="1967"/>
      <c r="B235" s="1967"/>
      <c r="C235" s="1967"/>
      <c r="D235" s="1967"/>
      <c r="E235" s="4760"/>
      <c r="F235" s="4760"/>
      <c r="G235" s="4760"/>
      <c r="H235" s="4760"/>
      <c r="I235" s="4780"/>
      <c r="J235" s="4780" t="str">
        <f>I226&amp;".1"</f>
        <v>8.1.1.1.1</v>
      </c>
      <c r="K235" s="4757"/>
      <c r="L235" s="1968"/>
      <c r="M235" s="1969"/>
      <c r="N235" s="1969"/>
      <c r="O235" s="1969"/>
      <c r="P235" s="4758"/>
      <c r="Q235" s="4758"/>
      <c r="R235" s="1981"/>
      <c r="S235" s="1982"/>
      <c r="T235" s="1974"/>
      <c r="U235" s="1974"/>
      <c r="V235" s="1983"/>
      <c r="W235" s="1983"/>
      <c r="X235" s="1984" t="str">
        <f>Y234&amp;"-"&amp;AA234</f>
        <v>-</v>
      </c>
      <c r="Y235" s="4763"/>
      <c r="Z235" s="4608"/>
      <c r="AA235" s="4763"/>
      <c r="AB235" s="4608"/>
      <c r="AC235" s="1983"/>
      <c r="AD235" s="1983"/>
      <c r="AE235" s="1984" t="str">
        <f>AF234&amp;"-"&amp;AH234</f>
        <v>45292-45473</v>
      </c>
      <c r="AF235" s="4763"/>
      <c r="AG235" s="4608"/>
      <c r="AH235" s="4782"/>
      <c r="AI235" s="4608"/>
      <c r="AJ235" s="1985"/>
      <c r="AK235" s="4817"/>
      <c r="AL235" s="1978"/>
      <c r="AM235" s="1979"/>
      <c r="AN235" s="1979" t="str">
        <f t="shared" si="4"/>
        <v/>
      </c>
      <c r="AO235" s="1979"/>
      <c r="AP235" s="1979"/>
    </row>
    <row r="236" spans="1:42" s="2799" customFormat="1" ht="23.25" customHeight="1">
      <c r="A236" s="1967"/>
      <c r="B236" s="1967"/>
      <c r="C236" s="1967"/>
      <c r="D236" s="1967"/>
      <c r="E236" s="4760"/>
      <c r="F236" s="4760"/>
      <c r="G236" s="4760"/>
      <c r="H236" s="4760"/>
      <c r="I236" s="4780"/>
      <c r="J236" s="4780"/>
      <c r="K236" s="4757" t="str">
        <f>J233&amp;".2"</f>
        <v>8.1.1.1.2.2</v>
      </c>
      <c r="L236" s="1968"/>
      <c r="M236" s="1969"/>
      <c r="N236" s="1969"/>
      <c r="O236" s="1969"/>
      <c r="P236" s="4758"/>
      <c r="Q236" s="4758"/>
      <c r="R236" s="1971" t="s">
        <v>102</v>
      </c>
      <c r="S236" s="1972" t="str">
        <f>$K236</f>
        <v>8.1.1.1.2.2</v>
      </c>
      <c r="T236" s="1973" t="s">
        <v>660</v>
      </c>
      <c r="U236" s="1974"/>
      <c r="V236" s="1975"/>
      <c r="W236" s="1975"/>
      <c r="X236" s="1976"/>
      <c r="Y236" s="4762"/>
      <c r="Z236" s="4608" t="s">
        <v>65</v>
      </c>
      <c r="AA236" s="4762"/>
      <c r="AB236" s="4608" t="s">
        <v>65</v>
      </c>
      <c r="AC236" s="1975">
        <v>54.64</v>
      </c>
      <c r="AD236" s="1975"/>
      <c r="AE236" s="1976"/>
      <c r="AF236" s="4762">
        <v>45298</v>
      </c>
      <c r="AG236" s="4608" t="s">
        <v>65</v>
      </c>
      <c r="AH236" s="4781">
        <v>45657</v>
      </c>
      <c r="AI236" s="4608" t="s">
        <v>65</v>
      </c>
      <c r="AJ236" s="1977"/>
      <c r="AK23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6" s="1978" t="e">
        <f ca="1">STRCHECKDATE(V237:AJ237)</f>
        <v>#NAME?</v>
      </c>
      <c r="AM236" s="1979"/>
      <c r="AN236" s="1979" t="str">
        <f t="shared" si="4"/>
        <v>Потребители, кроме населения (без учета НДС)</v>
      </c>
      <c r="AO236" s="1979"/>
      <c r="AP236" s="1979"/>
    </row>
    <row r="237" spans="1:42" s="2800" customFormat="1" ht="14.25" customHeight="1">
      <c r="A237" s="1967"/>
      <c r="B237" s="1967"/>
      <c r="C237" s="1967"/>
      <c r="D237" s="1967"/>
      <c r="E237" s="4760"/>
      <c r="F237" s="4760"/>
      <c r="G237" s="4760"/>
      <c r="H237" s="4760"/>
      <c r="I237" s="4780"/>
      <c r="J237" s="4780"/>
      <c r="K237" s="4757" t="str">
        <f>J233&amp;".1"</f>
        <v>8.1.1.1.2.1</v>
      </c>
      <c r="L237" s="1968"/>
      <c r="M237" s="1969"/>
      <c r="N237" s="1969"/>
      <c r="O237" s="1969"/>
      <c r="P237" s="4758"/>
      <c r="Q237" s="4758"/>
      <c r="R237" s="1981"/>
      <c r="S237" s="1982"/>
      <c r="T237" s="1974"/>
      <c r="U237" s="1974"/>
      <c r="V237" s="1983"/>
      <c r="W237" s="1983"/>
      <c r="X237" s="1984" t="str">
        <f>Y236&amp;"-"&amp;AA236</f>
        <v>-</v>
      </c>
      <c r="Y237" s="4763"/>
      <c r="Z237" s="4608"/>
      <c r="AA237" s="4763"/>
      <c r="AB237" s="4608"/>
      <c r="AC237" s="1983"/>
      <c r="AD237" s="1983"/>
      <c r="AE237" s="1984" t="str">
        <f>AF236&amp;"-"&amp;AH236</f>
        <v>45298-45657</v>
      </c>
      <c r="AF237" s="4763"/>
      <c r="AG237" s="4608"/>
      <c r="AH237" s="4782"/>
      <c r="AI237" s="4608"/>
      <c r="AJ237" s="1985"/>
      <c r="AK237" s="4817"/>
      <c r="AL237" s="1978"/>
      <c r="AM237" s="1979"/>
      <c r="AN237" s="1979" t="str">
        <f t="shared" si="4"/>
        <v/>
      </c>
      <c r="AO237" s="1979"/>
      <c r="AP237" s="1979"/>
    </row>
    <row r="238" spans="1:42" s="2801" customFormat="1" ht="21" customHeight="1">
      <c r="A238" s="1967"/>
      <c r="B238" s="1967"/>
      <c r="C238" s="1967"/>
      <c r="D238" s="1967"/>
      <c r="E238" s="4760"/>
      <c r="F238" s="4760"/>
      <c r="G238" s="4760"/>
      <c r="H238" s="4760"/>
      <c r="I238" s="4780"/>
      <c r="J238" s="4757" t="str">
        <f>I226&amp;".1"</f>
        <v>8.1.1.1.1</v>
      </c>
      <c r="K238" s="1967"/>
      <c r="L238" s="1968"/>
      <c r="M238" s="1969"/>
      <c r="N238" s="1969"/>
      <c r="O238" s="1969"/>
      <c r="P238" s="4758"/>
      <c r="Q238" s="4758"/>
      <c r="R238" s="1994"/>
      <c r="S238" s="2802"/>
      <c r="T238" s="2803" t="s">
        <v>624</v>
      </c>
      <c r="U238" s="2804"/>
      <c r="V238" s="2805"/>
      <c r="W238" s="2806"/>
      <c r="X238" s="2807"/>
      <c r="Y238" s="2808"/>
      <c r="Z238" s="2809"/>
      <c r="AA238" s="2810"/>
      <c r="AB238" s="2811"/>
      <c r="AC238" s="2812"/>
      <c r="AD238" s="2813"/>
      <c r="AE238" s="2814"/>
      <c r="AF238" s="2815"/>
      <c r="AG238" s="2816"/>
      <c r="AH238" s="2817"/>
      <c r="AI238" s="2818"/>
      <c r="AJ238" s="2819"/>
      <c r="AK238" s="2013" t="s">
        <v>625</v>
      </c>
      <c r="AL238" s="1978"/>
      <c r="AM238" s="1979"/>
      <c r="AN238" s="1979" t="str">
        <f t="shared" si="4"/>
        <v>Добавить значение признака дифференциации</v>
      </c>
      <c r="AO238" s="1979"/>
      <c r="AP238" s="1979"/>
    </row>
    <row r="239" spans="1:42" s="2820" customFormat="1" ht="23.25" customHeight="1">
      <c r="A239" s="1967"/>
      <c r="B239" s="1967"/>
      <c r="C239" s="1967"/>
      <c r="D239" s="1967"/>
      <c r="E239" s="4760"/>
      <c r="F239" s="4760"/>
      <c r="G239" s="4760"/>
      <c r="H239" s="4760"/>
      <c r="I239" s="4780"/>
      <c r="J239" s="4757" t="str">
        <f>I226&amp;".3"</f>
        <v>8.1.1.1.3</v>
      </c>
      <c r="K239" s="1967"/>
      <c r="L239" s="1968" t="s">
        <v>547</v>
      </c>
      <c r="M239" s="1969"/>
      <c r="N239" s="1969"/>
      <c r="O239" s="1969"/>
      <c r="P239" s="4758"/>
      <c r="Q239" s="4833" t="s">
        <v>102</v>
      </c>
      <c r="R239" s="1981"/>
      <c r="S239" s="1972" t="str">
        <f>$J239</f>
        <v>8.1.1.1.3</v>
      </c>
      <c r="T239" s="1987" t="s">
        <v>548</v>
      </c>
      <c r="U239" s="1974"/>
      <c r="V239" s="4748"/>
      <c r="W239" s="4749"/>
      <c r="X239" s="4749"/>
      <c r="Y239" s="4749"/>
      <c r="Z239" s="4749"/>
      <c r="AA239" s="4749"/>
      <c r="AB239" s="4750"/>
      <c r="AC239" s="4748" t="s">
        <v>661</v>
      </c>
      <c r="AD239" s="4749"/>
      <c r="AE239" s="4749"/>
      <c r="AF239" s="4749"/>
      <c r="AG239" s="4749"/>
      <c r="AH239" s="4749"/>
      <c r="AI239" s="4749"/>
      <c r="AJ239" s="4750"/>
      <c r="AK239" s="1988" t="s">
        <v>623</v>
      </c>
      <c r="AL239" s="1978"/>
      <c r="AM239" s="1979"/>
      <c r="AN239" s="1979" t="str">
        <f t="shared" si="4"/>
        <v>Группа потребителей</v>
      </c>
      <c r="AO239" s="1979"/>
      <c r="AP239" s="1979"/>
    </row>
    <row r="240" spans="1:42" s="2821" customFormat="1" ht="23.25" customHeight="1">
      <c r="A240" s="1967"/>
      <c r="B240" s="1967"/>
      <c r="C240" s="1967"/>
      <c r="D240" s="1967"/>
      <c r="E240" s="4760"/>
      <c r="F240" s="4760"/>
      <c r="G240" s="4760"/>
      <c r="H240" s="4760"/>
      <c r="I240" s="4780"/>
      <c r="J240" s="4780" t="str">
        <f>I226&amp;".2"</f>
        <v>8.1.1.1.2</v>
      </c>
      <c r="K240" s="4757" t="str">
        <f>J239&amp;".1"</f>
        <v>8.1.1.1.3.1</v>
      </c>
      <c r="L240" s="1968"/>
      <c r="M240" s="1969"/>
      <c r="N240" s="1969"/>
      <c r="O240" s="1969"/>
      <c r="P240" s="4758"/>
      <c r="Q240" s="4758"/>
      <c r="R240" s="1981">
        <v>1</v>
      </c>
      <c r="S240" s="1972" t="str">
        <f>$K240</f>
        <v>8.1.1.1.3.1</v>
      </c>
      <c r="T240" s="1973" t="s">
        <v>660</v>
      </c>
      <c r="U240" s="1974"/>
      <c r="V240" s="1975"/>
      <c r="W240" s="1975"/>
      <c r="X240" s="1976"/>
      <c r="Y240" s="4762"/>
      <c r="Z240" s="4608" t="s">
        <v>65</v>
      </c>
      <c r="AA240" s="4762"/>
      <c r="AB240" s="4608" t="s">
        <v>65</v>
      </c>
      <c r="AC240" s="1975">
        <v>86.08</v>
      </c>
      <c r="AD240" s="1975"/>
      <c r="AE240" s="1976"/>
      <c r="AF240" s="4762">
        <v>45292</v>
      </c>
      <c r="AG240" s="4608" t="s">
        <v>65</v>
      </c>
      <c r="AH240" s="4781">
        <v>45473</v>
      </c>
      <c r="AI240" s="4608" t="s">
        <v>65</v>
      </c>
      <c r="AJ240" s="1977"/>
      <c r="AK24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0" s="1978" t="e">
        <f ca="1">STRCHECKDATE(V241:AJ241)</f>
        <v>#NAME?</v>
      </c>
      <c r="AM240" s="1979"/>
      <c r="AN240" s="1979" t="str">
        <f t="shared" si="4"/>
        <v>Потребители, кроме населения (без учета НДС)</v>
      </c>
      <c r="AO240" s="1979"/>
      <c r="AP240" s="1979"/>
    </row>
    <row r="241" spans="1:42" s="2822" customFormat="1" ht="14.25" customHeight="1">
      <c r="A241" s="1967"/>
      <c r="B241" s="1967"/>
      <c r="C241" s="1967"/>
      <c r="D241" s="1967"/>
      <c r="E241" s="4760"/>
      <c r="F241" s="4760"/>
      <c r="G241" s="4760"/>
      <c r="H241" s="4760"/>
      <c r="I241" s="4780"/>
      <c r="J241" s="4780" t="str">
        <f>I226&amp;".2"</f>
        <v>8.1.1.1.2</v>
      </c>
      <c r="K241" s="4757"/>
      <c r="L241" s="1968"/>
      <c r="M241" s="1969"/>
      <c r="N241" s="1969"/>
      <c r="O241" s="1969"/>
      <c r="P241" s="4758"/>
      <c r="Q241" s="4758"/>
      <c r="R241" s="1981"/>
      <c r="S241" s="1982"/>
      <c r="T241" s="1974"/>
      <c r="U241" s="1974"/>
      <c r="V241" s="1983"/>
      <c r="W241" s="1983"/>
      <c r="X241" s="1984" t="str">
        <f>Y240&amp;"-"&amp;AA240</f>
        <v>-</v>
      </c>
      <c r="Y241" s="4763"/>
      <c r="Z241" s="4608"/>
      <c r="AA241" s="4763"/>
      <c r="AB241" s="4608"/>
      <c r="AC241" s="1983"/>
      <c r="AD241" s="1983"/>
      <c r="AE241" s="1984" t="str">
        <f>AF240&amp;"-"&amp;AH240</f>
        <v>45292-45473</v>
      </c>
      <c r="AF241" s="4763"/>
      <c r="AG241" s="4608"/>
      <c r="AH241" s="4782"/>
      <c r="AI241" s="4608"/>
      <c r="AJ241" s="1985"/>
      <c r="AK241" s="4817"/>
      <c r="AL241" s="1978"/>
      <c r="AM241" s="1979"/>
      <c r="AN241" s="1979" t="str">
        <f t="shared" si="4"/>
        <v/>
      </c>
      <c r="AO241" s="1979"/>
      <c r="AP241" s="1979"/>
    </row>
    <row r="242" spans="1:42" s="2823" customFormat="1" ht="23.25" customHeight="1">
      <c r="A242" s="1967"/>
      <c r="B242" s="1967"/>
      <c r="C242" s="1967"/>
      <c r="D242" s="1967"/>
      <c r="E242" s="4760"/>
      <c r="F242" s="4760"/>
      <c r="G242" s="4760"/>
      <c r="H242" s="4760"/>
      <c r="I242" s="4780"/>
      <c r="J242" s="4780"/>
      <c r="K242" s="4757" t="str">
        <f>J239&amp;".2"</f>
        <v>8.1.1.1.3.2</v>
      </c>
      <c r="L242" s="1968"/>
      <c r="M242" s="1969"/>
      <c r="N242" s="1969"/>
      <c r="O242" s="1969"/>
      <c r="P242" s="4758"/>
      <c r="Q242" s="4758"/>
      <c r="R242" s="1971" t="s">
        <v>102</v>
      </c>
      <c r="S242" s="1972" t="str">
        <f>$K242</f>
        <v>8.1.1.1.3.2</v>
      </c>
      <c r="T242" s="1973" t="s">
        <v>660</v>
      </c>
      <c r="U242" s="1974"/>
      <c r="V242" s="1975"/>
      <c r="W242" s="1975"/>
      <c r="X242" s="1976"/>
      <c r="Y242" s="4762"/>
      <c r="Z242" s="4608" t="s">
        <v>65</v>
      </c>
      <c r="AA242" s="4762"/>
      <c r="AB242" s="4608" t="s">
        <v>65</v>
      </c>
      <c r="AC242" s="1975">
        <v>54.64</v>
      </c>
      <c r="AD242" s="1975"/>
      <c r="AE242" s="1976"/>
      <c r="AF242" s="4762">
        <v>45474</v>
      </c>
      <c r="AG242" s="4608" t="s">
        <v>65</v>
      </c>
      <c r="AH242" s="4781">
        <v>45657</v>
      </c>
      <c r="AI242" s="4608" t="s">
        <v>65</v>
      </c>
      <c r="AJ242" s="1977"/>
      <c r="AK24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2" s="1978" t="e">
        <f ca="1">STRCHECKDATE(V243:AJ243)</f>
        <v>#NAME?</v>
      </c>
      <c r="AM242" s="1979"/>
      <c r="AN242" s="1979" t="str">
        <f t="shared" si="4"/>
        <v>Потребители, кроме населения (без учета НДС)</v>
      </c>
      <c r="AO242" s="1979"/>
      <c r="AP242" s="1979"/>
    </row>
    <row r="243" spans="1:42" s="2824" customFormat="1" ht="14.25" customHeight="1">
      <c r="A243" s="1967"/>
      <c r="B243" s="1967"/>
      <c r="C243" s="1967"/>
      <c r="D243" s="1967"/>
      <c r="E243" s="4760"/>
      <c r="F243" s="4760"/>
      <c r="G243" s="4760"/>
      <c r="H243" s="4760"/>
      <c r="I243" s="4780"/>
      <c r="J243" s="4780"/>
      <c r="K243" s="4757" t="str">
        <f>J239&amp;".1"</f>
        <v>8.1.1.1.3.1</v>
      </c>
      <c r="L243" s="1968"/>
      <c r="M243" s="1969"/>
      <c r="N243" s="1969"/>
      <c r="O243" s="1969"/>
      <c r="P243" s="4758"/>
      <c r="Q243" s="4758"/>
      <c r="R243" s="1981"/>
      <c r="S243" s="1982"/>
      <c r="T243" s="1974"/>
      <c r="U243" s="1974"/>
      <c r="V243" s="1983"/>
      <c r="W243" s="1983"/>
      <c r="X243" s="1984" t="str">
        <f>Y242&amp;"-"&amp;AA242</f>
        <v>-</v>
      </c>
      <c r="Y243" s="4763"/>
      <c r="Z243" s="4608"/>
      <c r="AA243" s="4763"/>
      <c r="AB243" s="4608"/>
      <c r="AC243" s="1983"/>
      <c r="AD243" s="1983"/>
      <c r="AE243" s="1984" t="str">
        <f>AF242&amp;"-"&amp;AH242</f>
        <v>45474-45657</v>
      </c>
      <c r="AF243" s="4763"/>
      <c r="AG243" s="4608"/>
      <c r="AH243" s="4782"/>
      <c r="AI243" s="4608"/>
      <c r="AJ243" s="1985"/>
      <c r="AK243" s="4817"/>
      <c r="AL243" s="1978"/>
      <c r="AM243" s="1979"/>
      <c r="AN243" s="1979" t="str">
        <f t="shared" si="4"/>
        <v/>
      </c>
      <c r="AO243" s="1979"/>
      <c r="AP243" s="1979"/>
    </row>
    <row r="244" spans="1:42" s="2825" customFormat="1" ht="21" customHeight="1">
      <c r="A244" s="1967"/>
      <c r="B244" s="1967"/>
      <c r="C244" s="1967"/>
      <c r="D244" s="1967"/>
      <c r="E244" s="4760"/>
      <c r="F244" s="4760"/>
      <c r="G244" s="4760"/>
      <c r="H244" s="4760"/>
      <c r="I244" s="4780"/>
      <c r="J244" s="4757" t="str">
        <f>I226&amp;".2"</f>
        <v>8.1.1.1.2</v>
      </c>
      <c r="K244" s="1967"/>
      <c r="L244" s="1968"/>
      <c r="M244" s="1969"/>
      <c r="N244" s="1969"/>
      <c r="O244" s="1969"/>
      <c r="P244" s="4758"/>
      <c r="Q244" s="4758"/>
      <c r="R244" s="1994"/>
      <c r="S244" s="2826"/>
      <c r="T244" s="2827" t="s">
        <v>624</v>
      </c>
      <c r="U244" s="2828"/>
      <c r="V244" s="2829"/>
      <c r="W244" s="2830"/>
      <c r="X244" s="2831"/>
      <c r="Y244" s="2832"/>
      <c r="Z244" s="2833"/>
      <c r="AA244" s="2834"/>
      <c r="AB244" s="2835"/>
      <c r="AC244" s="2836"/>
      <c r="AD244" s="2837"/>
      <c r="AE244" s="2838"/>
      <c r="AF244" s="2839"/>
      <c r="AG244" s="2840"/>
      <c r="AH244" s="2841"/>
      <c r="AI244" s="2842"/>
      <c r="AJ244" s="2843"/>
      <c r="AK244" s="2013" t="s">
        <v>625</v>
      </c>
      <c r="AL244" s="1978"/>
      <c r="AM244" s="1979"/>
      <c r="AN244" s="1979" t="str">
        <f t="shared" si="4"/>
        <v>Добавить значение признака дифференциации</v>
      </c>
      <c r="AO244" s="1979"/>
      <c r="AP244" s="1979"/>
    </row>
    <row r="245" spans="1:42" s="2844" customFormat="1" ht="21" customHeight="1">
      <c r="A245" s="1967"/>
      <c r="B245" s="1967"/>
      <c r="C245" s="1967"/>
      <c r="D245" s="1967"/>
      <c r="E245" s="4760" t="s">
        <v>91</v>
      </c>
      <c r="F245" s="4760"/>
      <c r="G245" s="4760"/>
      <c r="H245" s="4760"/>
      <c r="I245" s="4757"/>
      <c r="J245" s="1967"/>
      <c r="K245" s="1967"/>
      <c r="L245" s="1968"/>
      <c r="M245" s="1969"/>
      <c r="N245" s="1969"/>
      <c r="O245" s="1969"/>
      <c r="P245" s="4758"/>
      <c r="Q245" s="1970"/>
      <c r="R245" s="1994"/>
      <c r="S245" s="2845"/>
      <c r="T245" s="2846" t="s">
        <v>553</v>
      </c>
      <c r="U245" s="2847"/>
      <c r="V245" s="2848"/>
      <c r="W245" s="2849"/>
      <c r="X245" s="2850"/>
      <c r="Y245" s="2851"/>
      <c r="Z245" s="2852"/>
      <c r="AA245" s="2853"/>
      <c r="AB245" s="2854"/>
      <c r="AC245" s="2855"/>
      <c r="AD245" s="2856"/>
      <c r="AE245" s="2857"/>
      <c r="AF245" s="2858"/>
      <c r="AG245" s="2859"/>
      <c r="AH245" s="2860"/>
      <c r="AI245" s="2861"/>
      <c r="AJ245" s="2862"/>
      <c r="AK245" s="2863"/>
      <c r="AL245" s="1978"/>
      <c r="AM245" s="1979"/>
      <c r="AN245" s="1979" t="str">
        <f t="shared" si="4"/>
        <v>Добавить группу потребителей</v>
      </c>
      <c r="AO245" s="1979"/>
      <c r="AP245" s="1979"/>
    </row>
    <row r="246" spans="1:42" s="2864" customFormat="1" ht="21" customHeight="1">
      <c r="A246" s="1967"/>
      <c r="B246" s="1967"/>
      <c r="C246" s="1967"/>
      <c r="D246" s="1967"/>
      <c r="E246" s="4760" t="s">
        <v>91</v>
      </c>
      <c r="F246" s="4760"/>
      <c r="G246" s="4760"/>
      <c r="H246" s="4759"/>
      <c r="I246" s="1967"/>
      <c r="J246" s="1967"/>
      <c r="K246" s="1967"/>
      <c r="L246" s="1968"/>
      <c r="M246" s="2039"/>
      <c r="N246" s="2039"/>
      <c r="O246" s="2147"/>
      <c r="P246" s="2041"/>
      <c r="Q246" s="2148"/>
      <c r="R246" s="2042"/>
      <c r="S246" s="2865"/>
      <c r="T246" s="2866" t="s">
        <v>626</v>
      </c>
      <c r="U246" s="2867"/>
      <c r="V246" s="2868"/>
      <c r="W246" s="2869"/>
      <c r="X246" s="2870"/>
      <c r="Y246" s="2871"/>
      <c r="Z246" s="2872"/>
      <c r="AA246" s="2873"/>
      <c r="AB246" s="2874"/>
      <c r="AC246" s="2875"/>
      <c r="AD246" s="2876"/>
      <c r="AE246" s="2877"/>
      <c r="AF246" s="2878"/>
      <c r="AG246" s="2879"/>
      <c r="AH246" s="2880"/>
      <c r="AI246" s="2881"/>
      <c r="AJ246" s="2882"/>
      <c r="AK246" s="2883"/>
      <c r="AL246" s="1978"/>
      <c r="AM246" s="1979"/>
      <c r="AN246" s="1979" t="str">
        <f t="shared" si="4"/>
        <v>Добавить наименование признака дифференциации</v>
      </c>
      <c r="AO246" s="1979"/>
      <c r="AP246" s="1979"/>
    </row>
    <row r="247" spans="1:42" s="2884" customFormat="1" ht="14.25" customHeight="1">
      <c r="A247" s="2169"/>
      <c r="B247" s="2169"/>
      <c r="C247" s="2169"/>
      <c r="D247" s="2169"/>
      <c r="E247" s="4760" t="s">
        <v>91</v>
      </c>
      <c r="F247" s="4759"/>
      <c r="G247" s="2169"/>
      <c r="H247" s="2169"/>
      <c r="I247" s="2169"/>
      <c r="J247" s="2169"/>
      <c r="K247" s="2169"/>
      <c r="L247" s="2170"/>
      <c r="M247" s="2171"/>
      <c r="N247" s="2171"/>
      <c r="O247" s="1978"/>
      <c r="P247" s="2172"/>
      <c r="Q247" s="2173"/>
      <c r="R247" s="2172"/>
      <c r="S247" s="2174"/>
      <c r="T247" s="2175" t="s">
        <v>316</v>
      </c>
      <c r="U247" s="2176"/>
      <c r="V247" s="2176"/>
      <c r="W247" s="2176"/>
      <c r="X247" s="2176"/>
      <c r="Y247" s="2176"/>
      <c r="Z247" s="2176"/>
      <c r="AA247" s="2176"/>
      <c r="AB247" s="2176"/>
      <c r="AC247" s="2176"/>
      <c r="AD247" s="2176"/>
      <c r="AE247" s="2176"/>
      <c r="AF247" s="2176"/>
      <c r="AG247" s="2176"/>
      <c r="AH247" s="2176"/>
      <c r="AI247" s="2176"/>
      <c r="AJ247" s="2176"/>
      <c r="AK247" s="2176"/>
      <c r="AL247" s="1978"/>
      <c r="AM247" s="1979"/>
      <c r="AN247" s="1979" t="str">
        <f t="shared" si="4"/>
        <v>Добавить централизованную систему для дифференциации</v>
      </c>
      <c r="AO247" s="1979"/>
      <c r="AP247" s="1979"/>
    </row>
    <row r="248" spans="1:42" s="2885" customFormat="1" ht="14.25" customHeight="1">
      <c r="A248" s="2169"/>
      <c r="B248" s="2169"/>
      <c r="C248" s="2169"/>
      <c r="D248" s="2169"/>
      <c r="E248" s="4759" t="s">
        <v>91</v>
      </c>
      <c r="F248" s="2169"/>
      <c r="G248" s="2169"/>
      <c r="H248" s="2169"/>
      <c r="I248" s="2169"/>
      <c r="J248" s="2169"/>
      <c r="K248" s="2169"/>
      <c r="L248" s="2170"/>
      <c r="M248" s="2171"/>
      <c r="N248" s="2171"/>
      <c r="O248" s="1978"/>
      <c r="P248" s="2172"/>
      <c r="Q248" s="2173"/>
      <c r="R248" s="2172"/>
      <c r="S248" s="2174"/>
      <c r="T248" s="2175" t="s">
        <v>317</v>
      </c>
      <c r="U248" s="2176"/>
      <c r="V248" s="2176"/>
      <c r="W248" s="2176"/>
      <c r="X248" s="2176"/>
      <c r="Y248" s="2176"/>
      <c r="Z248" s="2176"/>
      <c r="AA248" s="2176"/>
      <c r="AB248" s="2176"/>
      <c r="AC248" s="2176"/>
      <c r="AD248" s="2176"/>
      <c r="AE248" s="2176"/>
      <c r="AF248" s="2176"/>
      <c r="AG248" s="2176"/>
      <c r="AH248" s="2176"/>
      <c r="AI248" s="2176"/>
      <c r="AJ248" s="2176"/>
      <c r="AK248" s="2176"/>
      <c r="AL248" s="1978"/>
      <c r="AM248" s="1979"/>
      <c r="AN248" s="1979" t="str">
        <f t="shared" si="4"/>
        <v>Добавить территорию для дифференциации</v>
      </c>
      <c r="AO248" s="1979"/>
      <c r="AP248" s="1979"/>
    </row>
    <row r="249" spans="1:42" s="2886" customFormat="1" ht="23.25" customHeight="1">
      <c r="A249" s="1967" t="s">
        <v>354</v>
      </c>
      <c r="B249" s="1967"/>
      <c r="C249" s="1967"/>
      <c r="D249" s="1967"/>
      <c r="E249" s="4759" t="s">
        <v>151</v>
      </c>
      <c r="F249" s="1967"/>
      <c r="G249" s="1967"/>
      <c r="H249" s="1967"/>
      <c r="I249" s="1967"/>
      <c r="J249" s="1967"/>
      <c r="K249" s="1967"/>
      <c r="L249" s="1968"/>
      <c r="M249" s="2039"/>
      <c r="N249" s="2039"/>
      <c r="O249" s="2039"/>
      <c r="P249" s="2040"/>
      <c r="Q249" s="2041"/>
      <c r="R249" s="2042"/>
      <c r="S249" s="1972" t="str">
        <f>INDEX(PT_DIFFERENTIATION_NUM_NTAR,MATCH(A249,PT_DIFFERENTIATION_NTAR_ID,0))</f>
        <v>9</v>
      </c>
      <c r="T249" s="2043" t="s">
        <v>185</v>
      </c>
      <c r="U249" s="1974"/>
      <c r="V249" s="4745"/>
      <c r="W249" s="4746"/>
      <c r="X249" s="4746"/>
      <c r="Y249" s="4746"/>
      <c r="Z249" s="4746"/>
      <c r="AA249" s="4746"/>
      <c r="AB249" s="4747"/>
      <c r="AC249" s="4745" t="str">
        <f>INDEX(PT_DIFFERENTIATION_NTAR,MATCH(A249,PT_DIFFERENTIATION_NTAR_ID,0))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AD249" s="4746"/>
      <c r="AE249" s="4746"/>
      <c r="AF249" s="4746"/>
      <c r="AG249" s="4746"/>
      <c r="AH249" s="4746"/>
      <c r="AI249" s="4746"/>
      <c r="AJ249" s="4747"/>
      <c r="AK249"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49" s="1978"/>
      <c r="AM249" s="1979"/>
      <c r="AN249" s="1979" t="str">
        <f t="shared" si="4"/>
        <v>Наименование тарифа</v>
      </c>
      <c r="AO249" s="1979"/>
      <c r="AP249" s="1979"/>
    </row>
    <row r="250" spans="1:42" s="2887" customFormat="1" ht="23.25" customHeight="1">
      <c r="A250" s="1967"/>
      <c r="B250" s="1967" t="s">
        <v>355</v>
      </c>
      <c r="C250" s="1967"/>
      <c r="D250" s="1967"/>
      <c r="E250" s="4760" t="s">
        <v>138</v>
      </c>
      <c r="F250" s="4759">
        <v>1</v>
      </c>
      <c r="G250" s="1967"/>
      <c r="H250" s="1967"/>
      <c r="I250" s="1967"/>
      <c r="J250" s="1967"/>
      <c r="K250" s="1967"/>
      <c r="L250" s="1968"/>
      <c r="M250" s="2039"/>
      <c r="N250" s="2039"/>
      <c r="O250" s="2039"/>
      <c r="P250" s="2045"/>
      <c r="Q250" s="2046"/>
      <c r="R250" s="2047"/>
      <c r="S250" s="1972" t="str">
        <f>INDEX(PT_DIFFERENTIATION_NUM_TER,MATCH(B250,PT_DIFFERENTIATION_TER_ID,0))</f>
        <v>9.1</v>
      </c>
      <c r="T250" s="2048" t="s">
        <v>538</v>
      </c>
      <c r="U250" s="1974"/>
      <c r="V250" s="4745"/>
      <c r="W250" s="4746"/>
      <c r="X250" s="4746"/>
      <c r="Y250" s="4746"/>
      <c r="Z250" s="4746"/>
      <c r="AA250" s="4746"/>
      <c r="AB250" s="4747"/>
      <c r="AC250" s="4745" t="str">
        <f>INDEX(PT_DIFFERENTIATION_TER,MATCH(B250,PT_DIFFERENTIATION_TER_ID,0))</f>
        <v>Территория 5</v>
      </c>
      <c r="AD250" s="4746"/>
      <c r="AE250" s="4746"/>
      <c r="AF250" s="4746"/>
      <c r="AG250" s="4746"/>
      <c r="AH250" s="4746"/>
      <c r="AI250" s="4746"/>
      <c r="AJ250" s="4747"/>
      <c r="AK250" s="2013" t="s">
        <v>539</v>
      </c>
      <c r="AL250" s="1978"/>
      <c r="AM250" s="1979"/>
      <c r="AN250" s="1979" t="str">
        <f t="shared" si="4"/>
        <v>Территория действия тарифа</v>
      </c>
      <c r="AO250" s="1979"/>
      <c r="AP250" s="1979"/>
    </row>
    <row r="251" spans="1:42" s="2888" customFormat="1" ht="23.25" customHeight="1">
      <c r="A251" s="1967"/>
      <c r="B251" s="1967"/>
      <c r="C251" s="1967" t="s">
        <v>356</v>
      </c>
      <c r="D251" s="1967"/>
      <c r="E251" s="4760" t="s">
        <v>138</v>
      </c>
      <c r="F251" s="4760"/>
      <c r="G251" s="4759">
        <v>1</v>
      </c>
      <c r="H251" s="1967"/>
      <c r="I251" s="1967"/>
      <c r="J251" s="1967"/>
      <c r="K251" s="1967"/>
      <c r="L251" s="1968"/>
      <c r="M251" s="2039"/>
      <c r="N251" s="2039"/>
      <c r="O251" s="2039"/>
      <c r="P251" s="2050"/>
      <c r="Q251" s="2046"/>
      <c r="R251" s="2047"/>
      <c r="S251" s="1972" t="str">
        <f>INDEX(PT_DIFFERENTIATION_NUM_CS,MATCH(C251,PT_DIFFERENTIATION_CS_ID,0))</f>
        <v>9.1.1</v>
      </c>
      <c r="T251" s="2051" t="s">
        <v>652</v>
      </c>
      <c r="U251" s="1974"/>
      <c r="V251" s="4745"/>
      <c r="W251" s="4746"/>
      <c r="X251" s="4746"/>
      <c r="Y251" s="4746"/>
      <c r="Z251" s="4746"/>
      <c r="AA251" s="4746"/>
      <c r="AB251" s="4747"/>
      <c r="AC251" s="4745" t="str">
        <f>INDEX(PT_DIFFERENTIATION_CS,MATCH(C251,PT_DIFFERENTIATION_CS_ID,0))</f>
        <v>без дифференциации</v>
      </c>
      <c r="AD251" s="4746"/>
      <c r="AE251" s="4746"/>
      <c r="AF251" s="4746"/>
      <c r="AG251" s="4746"/>
      <c r="AH251" s="4746"/>
      <c r="AI251" s="4746"/>
      <c r="AJ251" s="4747"/>
      <c r="AK251" s="2013" t="s">
        <v>653</v>
      </c>
      <c r="AL251" s="1978"/>
      <c r="AM251" s="1979"/>
      <c r="AN251" s="1979" t="str">
        <f t="shared" si="4"/>
        <v>Наименование централизованной системы водоотведения</v>
      </c>
      <c r="AO251" s="1979"/>
      <c r="AP251" s="1979"/>
    </row>
    <row r="252" spans="1:42" s="2889" customFormat="1" ht="23.25" customHeight="1">
      <c r="A252" s="1967"/>
      <c r="B252" s="1967"/>
      <c r="C252" s="1967"/>
      <c r="D252" s="1967"/>
      <c r="E252" s="4760" t="s">
        <v>138</v>
      </c>
      <c r="F252" s="4760"/>
      <c r="G252" s="4760"/>
      <c r="H252" s="4760"/>
      <c r="I252" s="4757" t="str">
        <f>S251&amp;".1"</f>
        <v>9.1.1.1</v>
      </c>
      <c r="J252" s="1967"/>
      <c r="K252" s="1967"/>
      <c r="L252" s="1968"/>
      <c r="M252" s="1969"/>
      <c r="N252" s="1969"/>
      <c r="O252" s="1969"/>
      <c r="P252" s="4758">
        <v>1</v>
      </c>
      <c r="Q252" s="1970"/>
      <c r="R252" s="1994"/>
      <c r="S252" s="1972" t="str">
        <f>$I252</f>
        <v>9.1.1.1</v>
      </c>
      <c r="T252" s="2053" t="s">
        <v>621</v>
      </c>
      <c r="U252" s="1974"/>
      <c r="V252" s="4818"/>
      <c r="W252" s="4819"/>
      <c r="X252" s="4819"/>
      <c r="Y252" s="4819"/>
      <c r="Z252" s="4819"/>
      <c r="AA252" s="4819"/>
      <c r="AB252" s="4820"/>
      <c r="AC252" s="4821"/>
      <c r="AD252" s="4822"/>
      <c r="AE252" s="4822"/>
      <c r="AF252" s="4822"/>
      <c r="AG252" s="4822"/>
      <c r="AH252" s="4822"/>
      <c r="AI252" s="4822"/>
      <c r="AJ252" s="4823"/>
      <c r="AK252" s="2013" t="s">
        <v>622</v>
      </c>
      <c r="AL252" s="1978"/>
      <c r="AM252" s="1979"/>
      <c r="AN252" s="1979" t="str">
        <f t="shared" si="4"/>
        <v>Наименование признака дифференциации</v>
      </c>
      <c r="AO252" s="1979"/>
      <c r="AP252" s="1979"/>
    </row>
    <row r="253" spans="1:42" s="2890" customFormat="1" ht="23.25" customHeight="1">
      <c r="A253" s="1967"/>
      <c r="B253" s="1967"/>
      <c r="C253" s="1967"/>
      <c r="D253" s="1967"/>
      <c r="E253" s="4760" t="s">
        <v>138</v>
      </c>
      <c r="F253" s="4760"/>
      <c r="G253" s="4760"/>
      <c r="H253" s="4760"/>
      <c r="I253" s="4780"/>
      <c r="J253" s="4757" t="str">
        <f>I252&amp;".1"</f>
        <v>9.1.1.1.1</v>
      </c>
      <c r="K253" s="1967"/>
      <c r="L253" s="1968" t="s">
        <v>547</v>
      </c>
      <c r="M253" s="1969"/>
      <c r="N253" s="1969"/>
      <c r="O253" s="1969"/>
      <c r="P253" s="4758"/>
      <c r="Q253" s="4758">
        <v>1</v>
      </c>
      <c r="R253" s="1981"/>
      <c r="S253" s="1972" t="str">
        <f>$J253</f>
        <v>9.1.1.1.1</v>
      </c>
      <c r="T253" s="1987" t="s">
        <v>548</v>
      </c>
      <c r="U253" s="1974"/>
      <c r="V253" s="4748"/>
      <c r="W253" s="4749"/>
      <c r="X253" s="4749"/>
      <c r="Y253" s="4749"/>
      <c r="Z253" s="4749"/>
      <c r="AA253" s="4749"/>
      <c r="AB253" s="4750"/>
      <c r="AC253" s="4748" t="s">
        <v>657</v>
      </c>
      <c r="AD253" s="4749"/>
      <c r="AE253" s="4749"/>
      <c r="AF253" s="4749"/>
      <c r="AG253" s="4749"/>
      <c r="AH253" s="4749"/>
      <c r="AI253" s="4749"/>
      <c r="AJ253" s="4750"/>
      <c r="AK253" s="1988" t="s">
        <v>623</v>
      </c>
      <c r="AL253" s="1978"/>
      <c r="AM253" s="1979"/>
      <c r="AN253" s="1979" t="str">
        <f t="shared" si="4"/>
        <v>Группа потребителей</v>
      </c>
      <c r="AO253" s="1979"/>
      <c r="AP253" s="1979"/>
    </row>
    <row r="254" spans="1:42" s="2891" customFormat="1" ht="23.25" customHeight="1">
      <c r="A254" s="1967"/>
      <c r="B254" s="1967"/>
      <c r="C254" s="1967"/>
      <c r="D254" s="1967"/>
      <c r="E254" s="4760" t="s">
        <v>138</v>
      </c>
      <c r="F254" s="4760"/>
      <c r="G254" s="4760"/>
      <c r="H254" s="4760"/>
      <c r="I254" s="4780"/>
      <c r="J254" s="4780"/>
      <c r="K254" s="4757" t="str">
        <f>J253&amp;".1"</f>
        <v>9.1.1.1.1.1</v>
      </c>
      <c r="L254" s="1968"/>
      <c r="M254" s="1969"/>
      <c r="N254" s="1969"/>
      <c r="O254" s="1969"/>
      <c r="P254" s="4758"/>
      <c r="Q254" s="4758"/>
      <c r="R254" s="1981">
        <v>1</v>
      </c>
      <c r="S254" s="1972" t="str">
        <f>$K254</f>
        <v>9.1.1.1.1.1</v>
      </c>
      <c r="T254" s="1973" t="s">
        <v>658</v>
      </c>
      <c r="U254" s="1974"/>
      <c r="V254" s="1975"/>
      <c r="W254" s="1975"/>
      <c r="X254" s="1976"/>
      <c r="Y254" s="4762"/>
      <c r="Z254" s="4608" t="s">
        <v>65</v>
      </c>
      <c r="AA254" s="4762"/>
      <c r="AB254" s="4608" t="s">
        <v>65</v>
      </c>
      <c r="AC254" s="1975">
        <v>29.29</v>
      </c>
      <c r="AD254" s="1975"/>
      <c r="AE254" s="1976"/>
      <c r="AF254" s="4762">
        <v>45292</v>
      </c>
      <c r="AG254" s="4608" t="s">
        <v>65</v>
      </c>
      <c r="AH254" s="4781">
        <v>45473</v>
      </c>
      <c r="AI254" s="4608" t="s">
        <v>65</v>
      </c>
      <c r="AJ254" s="1977"/>
      <c r="AK25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4" s="1978" t="e">
        <f ca="1">STRCHECKDATE(V255:AJ255)</f>
        <v>#NAME?</v>
      </c>
      <c r="AM254" s="1979"/>
      <c r="AN254" s="1979" t="str">
        <f t="shared" si="4"/>
        <v>Население (с учетом НДС)</v>
      </c>
      <c r="AO254" s="1979"/>
      <c r="AP254" s="1979"/>
    </row>
    <row r="255" spans="1:42" s="2892" customFormat="1" ht="14.25" customHeight="1">
      <c r="A255" s="1967"/>
      <c r="B255" s="1967"/>
      <c r="C255" s="1967"/>
      <c r="D255" s="1967"/>
      <c r="E255" s="4760" t="s">
        <v>138</v>
      </c>
      <c r="F255" s="4760"/>
      <c r="G255" s="4760"/>
      <c r="H255" s="4760"/>
      <c r="I255" s="4780"/>
      <c r="J255" s="4780"/>
      <c r="K255" s="4757"/>
      <c r="L255" s="1968"/>
      <c r="M255" s="1969"/>
      <c r="N255" s="1969"/>
      <c r="O255" s="1969"/>
      <c r="P255" s="4758"/>
      <c r="Q255" s="4758"/>
      <c r="R255" s="1981"/>
      <c r="S255" s="1982"/>
      <c r="T255" s="1974"/>
      <c r="U255" s="1974"/>
      <c r="V255" s="1983"/>
      <c r="W255" s="1983"/>
      <c r="X255" s="1984" t="str">
        <f>Y254&amp;"-"&amp;AA254</f>
        <v>-</v>
      </c>
      <c r="Y255" s="4763"/>
      <c r="Z255" s="4608"/>
      <c r="AA255" s="4763"/>
      <c r="AB255" s="4608"/>
      <c r="AC255" s="1983"/>
      <c r="AD255" s="1983"/>
      <c r="AE255" s="1984" t="str">
        <f>AF254&amp;"-"&amp;AH254</f>
        <v>45292-45473</v>
      </c>
      <c r="AF255" s="4763"/>
      <c r="AG255" s="4608"/>
      <c r="AH255" s="4782"/>
      <c r="AI255" s="4608"/>
      <c r="AJ255" s="1985"/>
      <c r="AK255" s="4817"/>
      <c r="AL255" s="1978"/>
      <c r="AM255" s="1979"/>
      <c r="AN255" s="1979" t="str">
        <f t="shared" si="4"/>
        <v/>
      </c>
      <c r="AO255" s="1979"/>
      <c r="AP255" s="1979"/>
    </row>
    <row r="256" spans="1:42" s="2893" customFormat="1" ht="23.25" customHeight="1">
      <c r="A256" s="1967"/>
      <c r="B256" s="1967"/>
      <c r="C256" s="1967"/>
      <c r="D256" s="1967"/>
      <c r="E256" s="4760"/>
      <c r="F256" s="4760"/>
      <c r="G256" s="4760"/>
      <c r="H256" s="4760"/>
      <c r="I256" s="4780"/>
      <c r="J256" s="4780"/>
      <c r="K256" s="4757" t="str">
        <f>J253&amp;".2"</f>
        <v>9.1.1.1.1.2</v>
      </c>
      <c r="L256" s="1968"/>
      <c r="M256" s="1969"/>
      <c r="N256" s="1969"/>
      <c r="O256" s="1969"/>
      <c r="P256" s="4758"/>
      <c r="Q256" s="4758"/>
      <c r="R256" s="1971" t="s">
        <v>102</v>
      </c>
      <c r="S256" s="1972" t="str">
        <f>$K256</f>
        <v>9.1.1.1.1.2</v>
      </c>
      <c r="T256" s="1973" t="s">
        <v>658</v>
      </c>
      <c r="U256" s="1974"/>
      <c r="V256" s="1975"/>
      <c r="W256" s="1975"/>
      <c r="X256" s="1976"/>
      <c r="Y256" s="4762"/>
      <c r="Z256" s="4608" t="s">
        <v>65</v>
      </c>
      <c r="AA256" s="4762"/>
      <c r="AB256" s="4608" t="s">
        <v>65</v>
      </c>
      <c r="AC256" s="1975">
        <v>31.92</v>
      </c>
      <c r="AD256" s="1975"/>
      <c r="AE256" s="1976"/>
      <c r="AF256" s="4762">
        <v>45474</v>
      </c>
      <c r="AG256" s="4608" t="s">
        <v>65</v>
      </c>
      <c r="AH256" s="4781">
        <v>45657</v>
      </c>
      <c r="AI256" s="4608" t="s">
        <v>65</v>
      </c>
      <c r="AJ256" s="1977"/>
      <c r="AK25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6" s="1978" t="e">
        <f ca="1">STRCHECKDATE(V257:AJ257)</f>
        <v>#NAME?</v>
      </c>
      <c r="AM256" s="1979"/>
      <c r="AN256" s="1979" t="str">
        <f t="shared" si="4"/>
        <v>Население (с учетом НДС)</v>
      </c>
      <c r="AO256" s="1979"/>
      <c r="AP256" s="1979"/>
    </row>
    <row r="257" spans="1:42" s="2894" customFormat="1" ht="14.25" customHeight="1">
      <c r="A257" s="1967"/>
      <c r="B257" s="1967"/>
      <c r="C257" s="1967"/>
      <c r="D257" s="1967"/>
      <c r="E257" s="4760"/>
      <c r="F257" s="4760"/>
      <c r="G257" s="4760"/>
      <c r="H257" s="4760"/>
      <c r="I257" s="4780"/>
      <c r="J257" s="4780"/>
      <c r="K257" s="4757" t="str">
        <f>J253&amp;".1"</f>
        <v>9.1.1.1.1.1</v>
      </c>
      <c r="L257" s="1968"/>
      <c r="M257" s="1969"/>
      <c r="N257" s="1969"/>
      <c r="O257" s="1969"/>
      <c r="P257" s="4758"/>
      <c r="Q257" s="4758"/>
      <c r="R257" s="1981"/>
      <c r="S257" s="1982"/>
      <c r="T257" s="1974"/>
      <c r="U257" s="1974"/>
      <c r="V257" s="1983"/>
      <c r="W257" s="1983"/>
      <c r="X257" s="1984" t="str">
        <f>Y256&amp;"-"&amp;AA256</f>
        <v>-</v>
      </c>
      <c r="Y257" s="4763"/>
      <c r="Z257" s="4608"/>
      <c r="AA257" s="4763"/>
      <c r="AB257" s="4608"/>
      <c r="AC257" s="1983"/>
      <c r="AD257" s="1983"/>
      <c r="AE257" s="1984" t="str">
        <f>AF256&amp;"-"&amp;AH256</f>
        <v>45474-45657</v>
      </c>
      <c r="AF257" s="4763"/>
      <c r="AG257" s="4608"/>
      <c r="AH257" s="4782"/>
      <c r="AI257" s="4608"/>
      <c r="AJ257" s="1985"/>
      <c r="AK257" s="4817"/>
      <c r="AL257" s="1978"/>
      <c r="AM257" s="1979"/>
      <c r="AN257" s="1979" t="str">
        <f t="shared" si="4"/>
        <v/>
      </c>
      <c r="AO257" s="1979"/>
      <c r="AP257" s="1979"/>
    </row>
    <row r="258" spans="1:42" s="2895" customFormat="1" ht="21" customHeight="1">
      <c r="A258" s="1967"/>
      <c r="B258" s="1967"/>
      <c r="C258" s="1967"/>
      <c r="D258" s="1967"/>
      <c r="E258" s="4760" t="s">
        <v>138</v>
      </c>
      <c r="F258" s="4760"/>
      <c r="G258" s="4760"/>
      <c r="H258" s="4760"/>
      <c r="I258" s="4780"/>
      <c r="J258" s="4757"/>
      <c r="K258" s="1967"/>
      <c r="L258" s="1968"/>
      <c r="M258" s="1969"/>
      <c r="N258" s="1969"/>
      <c r="O258" s="1969"/>
      <c r="P258" s="4758"/>
      <c r="Q258" s="4758"/>
      <c r="R258" s="1994"/>
      <c r="S258" s="2896"/>
      <c r="T258" s="2897" t="s">
        <v>624</v>
      </c>
      <c r="U258" s="2898"/>
      <c r="V258" s="2899"/>
      <c r="W258" s="2900"/>
      <c r="X258" s="2901"/>
      <c r="Y258" s="2902"/>
      <c r="Z258" s="2903"/>
      <c r="AA258" s="2904"/>
      <c r="AB258" s="2905"/>
      <c r="AC258" s="2906"/>
      <c r="AD258" s="2907"/>
      <c r="AE258" s="2908"/>
      <c r="AF258" s="2909"/>
      <c r="AG258" s="2910"/>
      <c r="AH258" s="2911"/>
      <c r="AI258" s="2912"/>
      <c r="AJ258" s="2913"/>
      <c r="AK258" s="2013" t="s">
        <v>625</v>
      </c>
      <c r="AL258" s="1978"/>
      <c r="AM258" s="1979"/>
      <c r="AN258" s="1979" t="str">
        <f t="shared" si="4"/>
        <v>Добавить значение признака дифференциации</v>
      </c>
      <c r="AO258" s="1979"/>
      <c r="AP258" s="1979"/>
    </row>
    <row r="259" spans="1:42" s="2914" customFormat="1" ht="23.25" customHeight="1">
      <c r="A259" s="1967"/>
      <c r="B259" s="1967"/>
      <c r="C259" s="1967"/>
      <c r="D259" s="1967"/>
      <c r="E259" s="4760"/>
      <c r="F259" s="4760"/>
      <c r="G259" s="4760"/>
      <c r="H259" s="4760"/>
      <c r="I259" s="4780"/>
      <c r="J259" s="4757" t="str">
        <f>I252&amp;".2"</f>
        <v>9.1.1.1.2</v>
      </c>
      <c r="K259" s="1967"/>
      <c r="L259" s="1968" t="s">
        <v>547</v>
      </c>
      <c r="M259" s="1969"/>
      <c r="N259" s="1969"/>
      <c r="O259" s="1969"/>
      <c r="P259" s="4758"/>
      <c r="Q259" s="4833" t="s">
        <v>102</v>
      </c>
      <c r="R259" s="1981"/>
      <c r="S259" s="1972" t="str">
        <f>$J259</f>
        <v>9.1.1.1.2</v>
      </c>
      <c r="T259" s="1987" t="s">
        <v>548</v>
      </c>
      <c r="U259" s="1974"/>
      <c r="V259" s="4748"/>
      <c r="W259" s="4749"/>
      <c r="X259" s="4749"/>
      <c r="Y259" s="4749"/>
      <c r="Z259" s="4749"/>
      <c r="AA259" s="4749"/>
      <c r="AB259" s="4750"/>
      <c r="AC259" s="4748" t="s">
        <v>659</v>
      </c>
      <c r="AD259" s="4749"/>
      <c r="AE259" s="4749"/>
      <c r="AF259" s="4749"/>
      <c r="AG259" s="4749"/>
      <c r="AH259" s="4749"/>
      <c r="AI259" s="4749"/>
      <c r="AJ259" s="4750"/>
      <c r="AK259" s="1988" t="s">
        <v>623</v>
      </c>
      <c r="AL259" s="1978"/>
      <c r="AM259" s="1979"/>
      <c r="AN259" s="1979" t="str">
        <f t="shared" si="4"/>
        <v>Группа потребителей</v>
      </c>
      <c r="AO259" s="1979"/>
      <c r="AP259" s="1979"/>
    </row>
    <row r="260" spans="1:42" s="2915" customFormat="1" ht="23.25" customHeight="1">
      <c r="A260" s="1967"/>
      <c r="B260" s="1967"/>
      <c r="C260" s="1967"/>
      <c r="D260" s="1967"/>
      <c r="E260" s="4760"/>
      <c r="F260" s="4760"/>
      <c r="G260" s="4760"/>
      <c r="H260" s="4760"/>
      <c r="I260" s="4780"/>
      <c r="J260" s="4780" t="str">
        <f>I252&amp;".1"</f>
        <v>9.1.1.1.1</v>
      </c>
      <c r="K260" s="4757" t="str">
        <f>J259&amp;".1"</f>
        <v>9.1.1.1.2.1</v>
      </c>
      <c r="L260" s="1968"/>
      <c r="M260" s="1969"/>
      <c r="N260" s="1969"/>
      <c r="O260" s="1969"/>
      <c r="P260" s="4758"/>
      <c r="Q260" s="4758"/>
      <c r="R260" s="1981">
        <v>1</v>
      </c>
      <c r="S260" s="1972" t="str">
        <f>$K260</f>
        <v>9.1.1.1.2.1</v>
      </c>
      <c r="T260" s="1973" t="s">
        <v>660</v>
      </c>
      <c r="U260" s="1974"/>
      <c r="V260" s="1975"/>
      <c r="W260" s="1975"/>
      <c r="X260" s="1976"/>
      <c r="Y260" s="4762"/>
      <c r="Z260" s="4608" t="s">
        <v>65</v>
      </c>
      <c r="AA260" s="4762"/>
      <c r="AB260" s="4608" t="s">
        <v>65</v>
      </c>
      <c r="AC260" s="1975">
        <v>86.08</v>
      </c>
      <c r="AD260" s="1975"/>
      <c r="AE260" s="1976"/>
      <c r="AF260" s="4762">
        <v>45292</v>
      </c>
      <c r="AG260" s="4608" t="s">
        <v>65</v>
      </c>
      <c r="AH260" s="4781">
        <v>45473</v>
      </c>
      <c r="AI260" s="4608" t="s">
        <v>65</v>
      </c>
      <c r="AJ260" s="1977"/>
      <c r="AK26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0" s="1978" t="e">
        <f ca="1">STRCHECKDATE(V261:AJ261)</f>
        <v>#NAME?</v>
      </c>
      <c r="AM260" s="1979"/>
      <c r="AN260" s="1979" t="str">
        <f t="shared" si="4"/>
        <v>Потребители, кроме населения (без учета НДС)</v>
      </c>
      <c r="AO260" s="1979"/>
      <c r="AP260" s="1979"/>
    </row>
    <row r="261" spans="1:42" s="2916" customFormat="1" ht="14.25" customHeight="1">
      <c r="A261" s="1967"/>
      <c r="B261" s="1967"/>
      <c r="C261" s="1967"/>
      <c r="D261" s="1967"/>
      <c r="E261" s="4760"/>
      <c r="F261" s="4760"/>
      <c r="G261" s="4760"/>
      <c r="H261" s="4760"/>
      <c r="I261" s="4780"/>
      <c r="J261" s="4780" t="str">
        <f>I252&amp;".1"</f>
        <v>9.1.1.1.1</v>
      </c>
      <c r="K261" s="4757"/>
      <c r="L261" s="1968"/>
      <c r="M261" s="1969"/>
      <c r="N261" s="1969"/>
      <c r="O261" s="1969"/>
      <c r="P261" s="4758"/>
      <c r="Q261" s="4758"/>
      <c r="R261" s="1981"/>
      <c r="S261" s="1982"/>
      <c r="T261" s="1974"/>
      <c r="U261" s="1974"/>
      <c r="V261" s="1983"/>
      <c r="W261" s="1983"/>
      <c r="X261" s="1984" t="str">
        <f>Y260&amp;"-"&amp;AA260</f>
        <v>-</v>
      </c>
      <c r="Y261" s="4763"/>
      <c r="Z261" s="4608"/>
      <c r="AA261" s="4763"/>
      <c r="AB261" s="4608"/>
      <c r="AC261" s="1983"/>
      <c r="AD261" s="1983"/>
      <c r="AE261" s="1984" t="str">
        <f>AF260&amp;"-"&amp;AH260</f>
        <v>45292-45473</v>
      </c>
      <c r="AF261" s="4763"/>
      <c r="AG261" s="4608"/>
      <c r="AH261" s="4782"/>
      <c r="AI261" s="4608"/>
      <c r="AJ261" s="1985"/>
      <c r="AK261" s="4817"/>
      <c r="AL261" s="1978"/>
      <c r="AM261" s="1979"/>
      <c r="AN261" s="1979" t="str">
        <f t="shared" si="4"/>
        <v/>
      </c>
      <c r="AO261" s="1979"/>
      <c r="AP261" s="1979"/>
    </row>
    <row r="262" spans="1:42" s="2917" customFormat="1" ht="23.25" customHeight="1">
      <c r="A262" s="1967"/>
      <c r="B262" s="1967"/>
      <c r="C262" s="1967"/>
      <c r="D262" s="1967"/>
      <c r="E262" s="4760"/>
      <c r="F262" s="4760"/>
      <c r="G262" s="4760"/>
      <c r="H262" s="4760"/>
      <c r="I262" s="4780"/>
      <c r="J262" s="4780"/>
      <c r="K262" s="4757" t="str">
        <f>J259&amp;".2"</f>
        <v>9.1.1.1.2.2</v>
      </c>
      <c r="L262" s="1968"/>
      <c r="M262" s="1969"/>
      <c r="N262" s="1969"/>
      <c r="O262" s="1969"/>
      <c r="P262" s="4758"/>
      <c r="Q262" s="4758"/>
      <c r="R262" s="1971" t="s">
        <v>102</v>
      </c>
      <c r="S262" s="1972" t="str">
        <f>$K262</f>
        <v>9.1.1.1.2.2</v>
      </c>
      <c r="T262" s="1973" t="s">
        <v>660</v>
      </c>
      <c r="U262" s="1974"/>
      <c r="V262" s="1975"/>
      <c r="W262" s="1975"/>
      <c r="X262" s="1976"/>
      <c r="Y262" s="4762"/>
      <c r="Z262" s="4608" t="s">
        <v>65</v>
      </c>
      <c r="AA262" s="4762"/>
      <c r="AB262" s="4608" t="s">
        <v>65</v>
      </c>
      <c r="AC262" s="1975">
        <v>54.64</v>
      </c>
      <c r="AD262" s="1975"/>
      <c r="AE262" s="1976"/>
      <c r="AF262" s="4762">
        <v>45474</v>
      </c>
      <c r="AG262" s="4608" t="s">
        <v>65</v>
      </c>
      <c r="AH262" s="4781">
        <v>45657</v>
      </c>
      <c r="AI262" s="4608" t="s">
        <v>65</v>
      </c>
      <c r="AJ262" s="1977"/>
      <c r="AK26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2" s="1978" t="e">
        <f ca="1">STRCHECKDATE(V263:AJ263)</f>
        <v>#NAME?</v>
      </c>
      <c r="AM262" s="1979"/>
      <c r="AN262" s="1979" t="str">
        <f t="shared" si="4"/>
        <v>Потребители, кроме населения (без учета НДС)</v>
      </c>
      <c r="AO262" s="1979"/>
      <c r="AP262" s="1979"/>
    </row>
    <row r="263" spans="1:42" s="2918" customFormat="1" ht="14.25" customHeight="1">
      <c r="A263" s="1967"/>
      <c r="B263" s="1967"/>
      <c r="C263" s="1967"/>
      <c r="D263" s="1967"/>
      <c r="E263" s="4760"/>
      <c r="F263" s="4760"/>
      <c r="G263" s="4760"/>
      <c r="H263" s="4760"/>
      <c r="I263" s="4780"/>
      <c r="J263" s="4780"/>
      <c r="K263" s="4757" t="str">
        <f>J259&amp;".1"</f>
        <v>9.1.1.1.2.1</v>
      </c>
      <c r="L263" s="1968"/>
      <c r="M263" s="1969"/>
      <c r="N263" s="1969"/>
      <c r="O263" s="1969"/>
      <c r="P263" s="4758"/>
      <c r="Q263" s="4758"/>
      <c r="R263" s="1981"/>
      <c r="S263" s="1982"/>
      <c r="T263" s="1974"/>
      <c r="U263" s="1974"/>
      <c r="V263" s="1983"/>
      <c r="W263" s="1983"/>
      <c r="X263" s="1984" t="str">
        <f>Y262&amp;"-"&amp;AA262</f>
        <v>-</v>
      </c>
      <c r="Y263" s="4763"/>
      <c r="Z263" s="4608"/>
      <c r="AA263" s="4763"/>
      <c r="AB263" s="4608"/>
      <c r="AC263" s="1983"/>
      <c r="AD263" s="1983"/>
      <c r="AE263" s="1984" t="str">
        <f>AF262&amp;"-"&amp;AH262</f>
        <v>45474-45657</v>
      </c>
      <c r="AF263" s="4763"/>
      <c r="AG263" s="4608"/>
      <c r="AH263" s="4782"/>
      <c r="AI263" s="4608"/>
      <c r="AJ263" s="1985"/>
      <c r="AK263" s="4817"/>
      <c r="AL263" s="1978"/>
      <c r="AM263" s="1979"/>
      <c r="AN263" s="1979" t="str">
        <f t="shared" si="4"/>
        <v/>
      </c>
      <c r="AO263" s="1979"/>
      <c r="AP263" s="1979"/>
    </row>
    <row r="264" spans="1:42" s="2919" customFormat="1" ht="21" customHeight="1">
      <c r="A264" s="1967"/>
      <c r="B264" s="1967"/>
      <c r="C264" s="1967"/>
      <c r="D264" s="1967"/>
      <c r="E264" s="4760"/>
      <c r="F264" s="4760"/>
      <c r="G264" s="4760"/>
      <c r="H264" s="4760"/>
      <c r="I264" s="4780"/>
      <c r="J264" s="4757" t="str">
        <f>I252&amp;".1"</f>
        <v>9.1.1.1.1</v>
      </c>
      <c r="K264" s="1967"/>
      <c r="L264" s="1968"/>
      <c r="M264" s="1969"/>
      <c r="N264" s="1969"/>
      <c r="O264" s="1969"/>
      <c r="P264" s="4758"/>
      <c r="Q264" s="4758"/>
      <c r="R264" s="1994"/>
      <c r="S264" s="2920"/>
      <c r="T264" s="2921" t="s">
        <v>624</v>
      </c>
      <c r="U264" s="2922"/>
      <c r="V264" s="2923"/>
      <c r="W264" s="2924"/>
      <c r="X264" s="2925"/>
      <c r="Y264" s="2926"/>
      <c r="Z264" s="2927"/>
      <c r="AA264" s="2928"/>
      <c r="AB264" s="2929"/>
      <c r="AC264" s="2930"/>
      <c r="AD264" s="2931"/>
      <c r="AE264" s="2932"/>
      <c r="AF264" s="2933"/>
      <c r="AG264" s="2934"/>
      <c r="AH264" s="2935"/>
      <c r="AI264" s="2936"/>
      <c r="AJ264" s="2937"/>
      <c r="AK264" s="2013" t="s">
        <v>625</v>
      </c>
      <c r="AL264" s="1978"/>
      <c r="AM264" s="1979"/>
      <c r="AN264" s="1979" t="str">
        <f t="shared" si="4"/>
        <v>Добавить значение признака дифференциации</v>
      </c>
      <c r="AO264" s="1979"/>
      <c r="AP264" s="1979"/>
    </row>
    <row r="265" spans="1:42" s="2938" customFormat="1" ht="23.25" customHeight="1">
      <c r="A265" s="1967"/>
      <c r="B265" s="1967"/>
      <c r="C265" s="1967"/>
      <c r="D265" s="1967"/>
      <c r="E265" s="4760"/>
      <c r="F265" s="4760"/>
      <c r="G265" s="4760"/>
      <c r="H265" s="4760"/>
      <c r="I265" s="4780"/>
      <c r="J265" s="4757" t="str">
        <f>I252&amp;".3"</f>
        <v>9.1.1.1.3</v>
      </c>
      <c r="K265" s="1967"/>
      <c r="L265" s="1968" t="s">
        <v>547</v>
      </c>
      <c r="M265" s="1969"/>
      <c r="N265" s="1969"/>
      <c r="O265" s="1969"/>
      <c r="P265" s="4758"/>
      <c r="Q265" s="4833" t="s">
        <v>102</v>
      </c>
      <c r="R265" s="1981"/>
      <c r="S265" s="1972" t="str">
        <f>$J265</f>
        <v>9.1.1.1.3</v>
      </c>
      <c r="T265" s="1987" t="s">
        <v>548</v>
      </c>
      <c r="U265" s="1974"/>
      <c r="V265" s="4748"/>
      <c r="W265" s="4749"/>
      <c r="X265" s="4749"/>
      <c r="Y265" s="4749"/>
      <c r="Z265" s="4749"/>
      <c r="AA265" s="4749"/>
      <c r="AB265" s="4750"/>
      <c r="AC265" s="4748" t="s">
        <v>661</v>
      </c>
      <c r="AD265" s="4749"/>
      <c r="AE265" s="4749"/>
      <c r="AF265" s="4749"/>
      <c r="AG265" s="4749"/>
      <c r="AH265" s="4749"/>
      <c r="AI265" s="4749"/>
      <c r="AJ265" s="4750"/>
      <c r="AK265" s="1988" t="s">
        <v>623</v>
      </c>
      <c r="AL265" s="1978"/>
      <c r="AM265" s="1979"/>
      <c r="AN265" s="1979" t="str">
        <f t="shared" si="4"/>
        <v>Группа потребителей</v>
      </c>
      <c r="AO265" s="1979"/>
      <c r="AP265" s="1979"/>
    </row>
    <row r="266" spans="1:42" s="2939" customFormat="1" ht="23.25" customHeight="1">
      <c r="A266" s="1967"/>
      <c r="B266" s="1967"/>
      <c r="C266" s="1967"/>
      <c r="D266" s="1967"/>
      <c r="E266" s="4760"/>
      <c r="F266" s="4760"/>
      <c r="G266" s="4760"/>
      <c r="H266" s="4760"/>
      <c r="I266" s="4780"/>
      <c r="J266" s="4780" t="str">
        <f>I252&amp;".2"</f>
        <v>9.1.1.1.2</v>
      </c>
      <c r="K266" s="4757" t="str">
        <f>J265&amp;".1"</f>
        <v>9.1.1.1.3.1</v>
      </c>
      <c r="L266" s="1968"/>
      <c r="M266" s="1969"/>
      <c r="N266" s="1969"/>
      <c r="O266" s="1969"/>
      <c r="P266" s="4758"/>
      <c r="Q266" s="4758"/>
      <c r="R266" s="1981">
        <v>1</v>
      </c>
      <c r="S266" s="1972" t="str">
        <f>$K266</f>
        <v>9.1.1.1.3.1</v>
      </c>
      <c r="T266" s="1973" t="s">
        <v>660</v>
      </c>
      <c r="U266" s="1974"/>
      <c r="V266" s="1975"/>
      <c r="W266" s="1975"/>
      <c r="X266" s="1976"/>
      <c r="Y266" s="4762"/>
      <c r="Z266" s="4608" t="s">
        <v>65</v>
      </c>
      <c r="AA266" s="4762"/>
      <c r="AB266" s="4608" t="s">
        <v>65</v>
      </c>
      <c r="AC266" s="1975">
        <v>86.08</v>
      </c>
      <c r="AD266" s="1975"/>
      <c r="AE266" s="1976"/>
      <c r="AF266" s="4762">
        <v>45292</v>
      </c>
      <c r="AG266" s="4608" t="s">
        <v>65</v>
      </c>
      <c r="AH266" s="4781">
        <v>45473</v>
      </c>
      <c r="AI266" s="4608" t="s">
        <v>65</v>
      </c>
      <c r="AJ266" s="1977"/>
      <c r="AK26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6" s="1978" t="e">
        <f ca="1">STRCHECKDATE(V267:AJ267)</f>
        <v>#NAME?</v>
      </c>
      <c r="AM266" s="1979"/>
      <c r="AN266" s="1979" t="str">
        <f t="shared" si="4"/>
        <v>Потребители, кроме населения (без учета НДС)</v>
      </c>
      <c r="AO266" s="1979"/>
      <c r="AP266" s="1979"/>
    </row>
    <row r="267" spans="1:42" s="2940" customFormat="1" ht="14.25" customHeight="1">
      <c r="A267" s="1967"/>
      <c r="B267" s="1967"/>
      <c r="C267" s="1967"/>
      <c r="D267" s="1967"/>
      <c r="E267" s="4760"/>
      <c r="F267" s="4760"/>
      <c r="G267" s="4760"/>
      <c r="H267" s="4760"/>
      <c r="I267" s="4780"/>
      <c r="J267" s="4780" t="str">
        <f>I252&amp;".2"</f>
        <v>9.1.1.1.2</v>
      </c>
      <c r="K267" s="4757"/>
      <c r="L267" s="1968"/>
      <c r="M267" s="1969"/>
      <c r="N267" s="1969"/>
      <c r="O267" s="1969"/>
      <c r="P267" s="4758"/>
      <c r="Q267" s="4758"/>
      <c r="R267" s="1981"/>
      <c r="S267" s="1982"/>
      <c r="T267" s="1974"/>
      <c r="U267" s="1974"/>
      <c r="V267" s="1983"/>
      <c r="W267" s="1983"/>
      <c r="X267" s="1984" t="str">
        <f>Y266&amp;"-"&amp;AA266</f>
        <v>-</v>
      </c>
      <c r="Y267" s="4763"/>
      <c r="Z267" s="4608"/>
      <c r="AA267" s="4763"/>
      <c r="AB267" s="4608"/>
      <c r="AC267" s="1983"/>
      <c r="AD267" s="1983"/>
      <c r="AE267" s="1984" t="str">
        <f>AF266&amp;"-"&amp;AH266</f>
        <v>45292-45473</v>
      </c>
      <c r="AF267" s="4763"/>
      <c r="AG267" s="4608"/>
      <c r="AH267" s="4782"/>
      <c r="AI267" s="4608"/>
      <c r="AJ267" s="1985"/>
      <c r="AK267" s="4817"/>
      <c r="AL267" s="1978"/>
      <c r="AM267" s="1979"/>
      <c r="AN267" s="1979" t="str">
        <f t="shared" si="4"/>
        <v/>
      </c>
      <c r="AO267" s="1979"/>
      <c r="AP267" s="1979"/>
    </row>
    <row r="268" spans="1:42" s="2941" customFormat="1" ht="23.25" customHeight="1">
      <c r="A268" s="1967"/>
      <c r="B268" s="1967"/>
      <c r="C268" s="1967"/>
      <c r="D268" s="1967"/>
      <c r="E268" s="4760"/>
      <c r="F268" s="4760"/>
      <c r="G268" s="4760"/>
      <c r="H268" s="4760"/>
      <c r="I268" s="4780"/>
      <c r="J268" s="4780"/>
      <c r="K268" s="4757" t="str">
        <f>J265&amp;".2"</f>
        <v>9.1.1.1.3.2</v>
      </c>
      <c r="L268" s="1968"/>
      <c r="M268" s="1969"/>
      <c r="N268" s="1969"/>
      <c r="O268" s="1969"/>
      <c r="P268" s="4758"/>
      <c r="Q268" s="4758"/>
      <c r="R268" s="1971" t="s">
        <v>102</v>
      </c>
      <c r="S268" s="1972" t="str">
        <f>$K268</f>
        <v>9.1.1.1.3.2</v>
      </c>
      <c r="T268" s="1973" t="s">
        <v>660</v>
      </c>
      <c r="U268" s="1974"/>
      <c r="V268" s="1975"/>
      <c r="W268" s="1975"/>
      <c r="X268" s="1976"/>
      <c r="Y268" s="4762"/>
      <c r="Z268" s="4608" t="s">
        <v>65</v>
      </c>
      <c r="AA268" s="4762"/>
      <c r="AB268" s="4608" t="s">
        <v>65</v>
      </c>
      <c r="AC268" s="1975">
        <v>54.64</v>
      </c>
      <c r="AD268" s="1975"/>
      <c r="AE268" s="1976"/>
      <c r="AF268" s="4762">
        <v>45474</v>
      </c>
      <c r="AG268" s="4608" t="s">
        <v>65</v>
      </c>
      <c r="AH268" s="4781">
        <v>45657</v>
      </c>
      <c r="AI268" s="4608" t="s">
        <v>65</v>
      </c>
      <c r="AJ268" s="1977"/>
      <c r="AK26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8" s="1978" t="e">
        <f ca="1">STRCHECKDATE(V269:AJ269)</f>
        <v>#NAME?</v>
      </c>
      <c r="AM268" s="1979"/>
      <c r="AN268" s="1979" t="str">
        <f t="shared" si="4"/>
        <v>Потребители, кроме населения (без учета НДС)</v>
      </c>
      <c r="AO268" s="1979"/>
      <c r="AP268" s="1979"/>
    </row>
    <row r="269" spans="1:42" s="2942" customFormat="1" ht="14.25" customHeight="1">
      <c r="A269" s="1967"/>
      <c r="B269" s="1967"/>
      <c r="C269" s="1967"/>
      <c r="D269" s="1967"/>
      <c r="E269" s="4760"/>
      <c r="F269" s="4760"/>
      <c r="G269" s="4760"/>
      <c r="H269" s="4760"/>
      <c r="I269" s="4780"/>
      <c r="J269" s="4780"/>
      <c r="K269" s="4757" t="str">
        <f>J265&amp;".1"</f>
        <v>9.1.1.1.3.1</v>
      </c>
      <c r="L269" s="1968"/>
      <c r="M269" s="1969"/>
      <c r="N269" s="1969"/>
      <c r="O269" s="1969"/>
      <c r="P269" s="4758"/>
      <c r="Q269" s="4758"/>
      <c r="R269" s="1981"/>
      <c r="S269" s="1982"/>
      <c r="T269" s="1974"/>
      <c r="U269" s="1974"/>
      <c r="V269" s="1983"/>
      <c r="W269" s="1983"/>
      <c r="X269" s="1984" t="str">
        <f>Y268&amp;"-"&amp;AA268</f>
        <v>-</v>
      </c>
      <c r="Y269" s="4763"/>
      <c r="Z269" s="4608"/>
      <c r="AA269" s="4763"/>
      <c r="AB269" s="4608"/>
      <c r="AC269" s="1983"/>
      <c r="AD269" s="1983"/>
      <c r="AE269" s="1984" t="str">
        <f>AF268&amp;"-"&amp;AH268</f>
        <v>45474-45657</v>
      </c>
      <c r="AF269" s="4763"/>
      <c r="AG269" s="4608"/>
      <c r="AH269" s="4782"/>
      <c r="AI269" s="4608"/>
      <c r="AJ269" s="1985"/>
      <c r="AK269" s="4817"/>
      <c r="AL269" s="1978"/>
      <c r="AM269" s="1979"/>
      <c r="AN269" s="1979" t="str">
        <f t="shared" si="4"/>
        <v/>
      </c>
      <c r="AO269" s="1979"/>
      <c r="AP269" s="1979"/>
    </row>
    <row r="270" spans="1:42" s="2943" customFormat="1" ht="21" customHeight="1">
      <c r="A270" s="1967"/>
      <c r="B270" s="1967"/>
      <c r="C270" s="1967"/>
      <c r="D270" s="1967"/>
      <c r="E270" s="4760"/>
      <c r="F270" s="4760"/>
      <c r="G270" s="4760"/>
      <c r="H270" s="4760"/>
      <c r="I270" s="4780"/>
      <c r="J270" s="4757" t="str">
        <f>I252&amp;".2"</f>
        <v>9.1.1.1.2</v>
      </c>
      <c r="K270" s="1967"/>
      <c r="L270" s="1968"/>
      <c r="M270" s="1969"/>
      <c r="N270" s="1969"/>
      <c r="O270" s="1969"/>
      <c r="P270" s="4758"/>
      <c r="Q270" s="4758"/>
      <c r="R270" s="1994"/>
      <c r="S270" s="2944"/>
      <c r="T270" s="2945" t="s">
        <v>624</v>
      </c>
      <c r="U270" s="2946"/>
      <c r="V270" s="2947"/>
      <c r="W270" s="2948"/>
      <c r="X270" s="2949"/>
      <c r="Y270" s="2950"/>
      <c r="Z270" s="2951"/>
      <c r="AA270" s="2952"/>
      <c r="AB270" s="2953"/>
      <c r="AC270" s="2954"/>
      <c r="AD270" s="2955"/>
      <c r="AE270" s="2956"/>
      <c r="AF270" s="2957"/>
      <c r="AG270" s="2958"/>
      <c r="AH270" s="2959"/>
      <c r="AI270" s="2960"/>
      <c r="AJ270" s="2961"/>
      <c r="AK270" s="2013" t="s">
        <v>625</v>
      </c>
      <c r="AL270" s="1978"/>
      <c r="AM270" s="1979"/>
      <c r="AN270" s="1979" t="str">
        <f t="shared" si="4"/>
        <v>Добавить значение признака дифференциации</v>
      </c>
      <c r="AO270" s="1979"/>
      <c r="AP270" s="1979"/>
    </row>
    <row r="271" spans="1:42" s="2962" customFormat="1" ht="21" customHeight="1">
      <c r="A271" s="1967"/>
      <c r="B271" s="1967"/>
      <c r="C271" s="1967"/>
      <c r="D271" s="1967"/>
      <c r="E271" s="4760" t="s">
        <v>138</v>
      </c>
      <c r="F271" s="4760"/>
      <c r="G271" s="4760"/>
      <c r="H271" s="4760"/>
      <c r="I271" s="4757"/>
      <c r="J271" s="1967"/>
      <c r="K271" s="1967"/>
      <c r="L271" s="1968"/>
      <c r="M271" s="1969"/>
      <c r="N271" s="1969"/>
      <c r="O271" s="1969"/>
      <c r="P271" s="4758"/>
      <c r="Q271" s="1970"/>
      <c r="R271" s="1994"/>
      <c r="S271" s="2963"/>
      <c r="T271" s="2964" t="s">
        <v>553</v>
      </c>
      <c r="U271" s="2965"/>
      <c r="V271" s="2966"/>
      <c r="W271" s="2967"/>
      <c r="X271" s="2968"/>
      <c r="Y271" s="2969"/>
      <c r="Z271" s="2970"/>
      <c r="AA271" s="2971"/>
      <c r="AB271" s="2972"/>
      <c r="AC271" s="2973"/>
      <c r="AD271" s="2974"/>
      <c r="AE271" s="2975"/>
      <c r="AF271" s="2976"/>
      <c r="AG271" s="2977"/>
      <c r="AH271" s="2978"/>
      <c r="AI271" s="2979"/>
      <c r="AJ271" s="2980"/>
      <c r="AK271" s="2981"/>
      <c r="AL271" s="1978"/>
      <c r="AM271" s="1979"/>
      <c r="AN271" s="1979" t="str">
        <f t="shared" si="4"/>
        <v>Добавить группу потребителей</v>
      </c>
      <c r="AO271" s="1979"/>
      <c r="AP271" s="1979"/>
    </row>
    <row r="272" spans="1:42" s="2982" customFormat="1" ht="21" customHeight="1">
      <c r="A272" s="1967"/>
      <c r="B272" s="1967"/>
      <c r="C272" s="1967"/>
      <c r="D272" s="1967"/>
      <c r="E272" s="4760" t="s">
        <v>138</v>
      </c>
      <c r="F272" s="4760"/>
      <c r="G272" s="4760"/>
      <c r="H272" s="4759"/>
      <c r="I272" s="1967"/>
      <c r="J272" s="1967"/>
      <c r="K272" s="1967"/>
      <c r="L272" s="1968"/>
      <c r="M272" s="2039"/>
      <c r="N272" s="2039"/>
      <c r="O272" s="2147"/>
      <c r="P272" s="2041"/>
      <c r="Q272" s="2148"/>
      <c r="R272" s="2042"/>
      <c r="S272" s="2983"/>
      <c r="T272" s="2984" t="s">
        <v>626</v>
      </c>
      <c r="U272" s="2985"/>
      <c r="V272" s="2986"/>
      <c r="W272" s="2987"/>
      <c r="X272" s="2988"/>
      <c r="Y272" s="2989"/>
      <c r="Z272" s="2990"/>
      <c r="AA272" s="2991"/>
      <c r="AB272" s="2992"/>
      <c r="AC272" s="2993"/>
      <c r="AD272" s="2994"/>
      <c r="AE272" s="2995"/>
      <c r="AF272" s="2996"/>
      <c r="AG272" s="2997"/>
      <c r="AH272" s="2998"/>
      <c r="AI272" s="2999"/>
      <c r="AJ272" s="3000"/>
      <c r="AK272" s="3001"/>
      <c r="AL272" s="1978"/>
      <c r="AM272" s="1979"/>
      <c r="AN272" s="1979" t="str">
        <f t="shared" si="4"/>
        <v>Добавить наименование признака дифференциации</v>
      </c>
      <c r="AO272" s="1979"/>
      <c r="AP272" s="1979"/>
    </row>
    <row r="273" spans="1:42" s="3002" customFormat="1" ht="14.25" customHeight="1">
      <c r="A273" s="2169"/>
      <c r="B273" s="2169"/>
      <c r="C273" s="2169"/>
      <c r="D273" s="2169"/>
      <c r="E273" s="4760" t="s">
        <v>138</v>
      </c>
      <c r="F273" s="4759"/>
      <c r="G273" s="2169"/>
      <c r="H273" s="2169"/>
      <c r="I273" s="2169"/>
      <c r="J273" s="2169"/>
      <c r="K273" s="2169"/>
      <c r="L273" s="2170"/>
      <c r="M273" s="2171"/>
      <c r="N273" s="2171"/>
      <c r="O273" s="1978"/>
      <c r="P273" s="2172"/>
      <c r="Q273" s="2173"/>
      <c r="R273" s="2172"/>
      <c r="S273" s="2174"/>
      <c r="T273" s="2175" t="s">
        <v>316</v>
      </c>
      <c r="U273" s="2176"/>
      <c r="V273" s="2176"/>
      <c r="W273" s="2176"/>
      <c r="X273" s="2176"/>
      <c r="Y273" s="2176"/>
      <c r="Z273" s="2176"/>
      <c r="AA273" s="2176"/>
      <c r="AB273" s="2176"/>
      <c r="AC273" s="2176"/>
      <c r="AD273" s="2176"/>
      <c r="AE273" s="2176"/>
      <c r="AF273" s="2176"/>
      <c r="AG273" s="2176"/>
      <c r="AH273" s="2176"/>
      <c r="AI273" s="2176"/>
      <c r="AJ273" s="2176"/>
      <c r="AK273" s="2176"/>
      <c r="AL273" s="1978"/>
      <c r="AM273" s="1979"/>
      <c r="AN273" s="1979" t="str">
        <f t="shared" si="4"/>
        <v>Добавить централизованную систему для дифференциации</v>
      </c>
      <c r="AO273" s="1979"/>
      <c r="AP273" s="1979"/>
    </row>
    <row r="274" spans="1:42" s="3003" customFormat="1" ht="14.25" customHeight="1">
      <c r="A274" s="2169"/>
      <c r="B274" s="2169"/>
      <c r="C274" s="2169"/>
      <c r="D274" s="2169"/>
      <c r="E274" s="4759" t="s">
        <v>138</v>
      </c>
      <c r="F274" s="2169"/>
      <c r="G274" s="2169"/>
      <c r="H274" s="2169"/>
      <c r="I274" s="2169"/>
      <c r="J274" s="2169"/>
      <c r="K274" s="2169"/>
      <c r="L274" s="2170"/>
      <c r="M274" s="2171"/>
      <c r="N274" s="2171"/>
      <c r="O274" s="1978"/>
      <c r="P274" s="2172"/>
      <c r="Q274" s="2173"/>
      <c r="R274" s="2172"/>
      <c r="S274" s="2174"/>
      <c r="T274" s="2175" t="s">
        <v>317</v>
      </c>
      <c r="U274" s="2176"/>
      <c r="V274" s="2176"/>
      <c r="W274" s="2176"/>
      <c r="X274" s="2176"/>
      <c r="Y274" s="2176"/>
      <c r="Z274" s="2176"/>
      <c r="AA274" s="2176"/>
      <c r="AB274" s="2176"/>
      <c r="AC274" s="2176"/>
      <c r="AD274" s="2176"/>
      <c r="AE274" s="2176"/>
      <c r="AF274" s="2176"/>
      <c r="AG274" s="2176"/>
      <c r="AH274" s="2176"/>
      <c r="AI274" s="2176"/>
      <c r="AJ274" s="2176"/>
      <c r="AK274" s="2176"/>
      <c r="AL274" s="1978"/>
      <c r="AM274" s="1979"/>
      <c r="AN274" s="1979" t="str">
        <f t="shared" si="4"/>
        <v>Добавить территорию для дифференциации</v>
      </c>
      <c r="AO274" s="1979"/>
      <c r="AP274" s="1979"/>
    </row>
    <row r="275" spans="1:42" s="3004" customFormat="1" ht="23.25" customHeight="1">
      <c r="A275" s="1967" t="s">
        <v>359</v>
      </c>
      <c r="B275" s="1967"/>
      <c r="C275" s="1967"/>
      <c r="D275" s="1967"/>
      <c r="E275" s="4759" t="s">
        <v>157</v>
      </c>
      <c r="F275" s="1967"/>
      <c r="G275" s="1967"/>
      <c r="H275" s="1967"/>
      <c r="I275" s="1967"/>
      <c r="J275" s="1967"/>
      <c r="K275" s="1967"/>
      <c r="L275" s="1968"/>
      <c r="M275" s="2039"/>
      <c r="N275" s="2039"/>
      <c r="O275" s="2039"/>
      <c r="P275" s="2040"/>
      <c r="Q275" s="2041"/>
      <c r="R275" s="2042"/>
      <c r="S275" s="1972" t="str">
        <f>INDEX(PT_DIFFERENTIATION_NUM_NTAR,MATCH(A275,PT_DIFFERENTIATION_NTAR_ID,0))</f>
        <v>10</v>
      </c>
      <c r="T275" s="2043" t="s">
        <v>185</v>
      </c>
      <c r="U275" s="1974"/>
      <c r="V275" s="4745"/>
      <c r="W275" s="4746"/>
      <c r="X275" s="4746"/>
      <c r="Y275" s="4746"/>
      <c r="Z275" s="4746"/>
      <c r="AA275" s="4746"/>
      <c r="AB275" s="4747"/>
      <c r="AC275" s="4745" t="str">
        <f>INDEX(PT_DIFFERENTIATION_NTAR,MATCH(A275,PT_DIFFERENTIATION_NTAR_ID,0))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AD275" s="4746"/>
      <c r="AE275" s="4746"/>
      <c r="AF275" s="4746"/>
      <c r="AG275" s="4746"/>
      <c r="AH275" s="4746"/>
      <c r="AI275" s="4746"/>
      <c r="AJ275" s="4747"/>
      <c r="AK275"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275" s="1978"/>
      <c r="AM275" s="1979"/>
      <c r="AN275" s="1979" t="str">
        <f t="shared" si="4"/>
        <v>Наименование тарифа</v>
      </c>
      <c r="AO275" s="1979"/>
      <c r="AP275" s="1979"/>
    </row>
    <row r="276" spans="1:42" s="3005" customFormat="1" ht="23.25" customHeight="1">
      <c r="A276" s="1967"/>
      <c r="B276" s="1967" t="s">
        <v>360</v>
      </c>
      <c r="C276" s="1967"/>
      <c r="D276" s="1967"/>
      <c r="E276" s="4760" t="s">
        <v>151</v>
      </c>
      <c r="F276" s="4759">
        <v>1</v>
      </c>
      <c r="G276" s="1967"/>
      <c r="H276" s="1967"/>
      <c r="I276" s="1967"/>
      <c r="J276" s="1967"/>
      <c r="K276" s="1967"/>
      <c r="L276" s="1968"/>
      <c r="M276" s="2039"/>
      <c r="N276" s="2039"/>
      <c r="O276" s="2039"/>
      <c r="P276" s="2045"/>
      <c r="Q276" s="2046"/>
      <c r="R276" s="2047"/>
      <c r="S276" s="1972" t="str">
        <f>INDEX(PT_DIFFERENTIATION_NUM_TER,MATCH(B276,PT_DIFFERENTIATION_TER_ID,0))</f>
        <v>10.1</v>
      </c>
      <c r="T276" s="2048" t="s">
        <v>538</v>
      </c>
      <c r="U276" s="1974"/>
      <c r="V276" s="4745"/>
      <c r="W276" s="4746"/>
      <c r="X276" s="4746"/>
      <c r="Y276" s="4746"/>
      <c r="Z276" s="4746"/>
      <c r="AA276" s="4746"/>
      <c r="AB276" s="4747"/>
      <c r="AC276" s="4745" t="str">
        <f>INDEX(PT_DIFFERENTIATION_TER,MATCH(B276,PT_DIFFERENTIATION_TER_ID,0))</f>
        <v>Территория 6</v>
      </c>
      <c r="AD276" s="4746"/>
      <c r="AE276" s="4746"/>
      <c r="AF276" s="4746"/>
      <c r="AG276" s="4746"/>
      <c r="AH276" s="4746"/>
      <c r="AI276" s="4746"/>
      <c r="AJ276" s="4747"/>
      <c r="AK276" s="2013" t="s">
        <v>539</v>
      </c>
      <c r="AL276" s="1978"/>
      <c r="AM276" s="1979"/>
      <c r="AN276" s="1979" t="str">
        <f t="shared" si="4"/>
        <v>Территория действия тарифа</v>
      </c>
      <c r="AO276" s="1979"/>
      <c r="AP276" s="1979"/>
    </row>
    <row r="277" spans="1:42" s="3006" customFormat="1" ht="23.25" customHeight="1">
      <c r="A277" s="1967"/>
      <c r="B277" s="1967"/>
      <c r="C277" s="1967" t="s">
        <v>361</v>
      </c>
      <c r="D277" s="1967"/>
      <c r="E277" s="4760" t="s">
        <v>151</v>
      </c>
      <c r="F277" s="4760"/>
      <c r="G277" s="4759">
        <v>1</v>
      </c>
      <c r="H277" s="1967"/>
      <c r="I277" s="1967"/>
      <c r="J277" s="1967"/>
      <c r="K277" s="1967"/>
      <c r="L277" s="1968"/>
      <c r="M277" s="2039"/>
      <c r="N277" s="2039"/>
      <c r="O277" s="2039"/>
      <c r="P277" s="2050"/>
      <c r="Q277" s="2046"/>
      <c r="R277" s="2047"/>
      <c r="S277" s="1972" t="str">
        <f>INDEX(PT_DIFFERENTIATION_NUM_CS,MATCH(C277,PT_DIFFERENTIATION_CS_ID,0))</f>
        <v>10.1.1</v>
      </c>
      <c r="T277" s="2051" t="s">
        <v>652</v>
      </c>
      <c r="U277" s="1974"/>
      <c r="V277" s="4745"/>
      <c r="W277" s="4746"/>
      <c r="X277" s="4746"/>
      <c r="Y277" s="4746"/>
      <c r="Z277" s="4746"/>
      <c r="AA277" s="4746"/>
      <c r="AB277" s="4747"/>
      <c r="AC277" s="4745" t="str">
        <f>INDEX(PT_DIFFERENTIATION_CS,MATCH(C277,PT_DIFFERENTIATION_CS_ID,0))</f>
        <v>без дифференциации</v>
      </c>
      <c r="AD277" s="4746"/>
      <c r="AE277" s="4746"/>
      <c r="AF277" s="4746"/>
      <c r="AG277" s="4746"/>
      <c r="AH277" s="4746"/>
      <c r="AI277" s="4746"/>
      <c r="AJ277" s="4747"/>
      <c r="AK277" s="2013" t="s">
        <v>653</v>
      </c>
      <c r="AL277" s="1978"/>
      <c r="AM277" s="1979"/>
      <c r="AN277" s="1979" t="str">
        <f t="shared" si="4"/>
        <v>Наименование централизованной системы водоотведения</v>
      </c>
      <c r="AO277" s="1979"/>
      <c r="AP277" s="1979"/>
    </row>
    <row r="278" spans="1:42" s="3007" customFormat="1" ht="23.25" customHeight="1">
      <c r="A278" s="1967"/>
      <c r="B278" s="1967"/>
      <c r="C278" s="1967"/>
      <c r="D278" s="1967"/>
      <c r="E278" s="4760" t="s">
        <v>151</v>
      </c>
      <c r="F278" s="4760"/>
      <c r="G278" s="4760"/>
      <c r="H278" s="4760"/>
      <c r="I278" s="4757" t="str">
        <f>S277&amp;".1"</f>
        <v>10.1.1.1</v>
      </c>
      <c r="J278" s="1967"/>
      <c r="K278" s="1967"/>
      <c r="L278" s="1968"/>
      <c r="M278" s="1969"/>
      <c r="N278" s="1969"/>
      <c r="O278" s="1969"/>
      <c r="P278" s="4758">
        <v>1</v>
      </c>
      <c r="Q278" s="1970"/>
      <c r="R278" s="1994"/>
      <c r="S278" s="1972" t="str">
        <f>$I278</f>
        <v>10.1.1.1</v>
      </c>
      <c r="T278" s="2053" t="s">
        <v>621</v>
      </c>
      <c r="U278" s="1974"/>
      <c r="V278" s="4818"/>
      <c r="W278" s="4819"/>
      <c r="X278" s="4819"/>
      <c r="Y278" s="4819"/>
      <c r="Z278" s="4819"/>
      <c r="AA278" s="4819"/>
      <c r="AB278" s="4820"/>
      <c r="AC278" s="4821"/>
      <c r="AD278" s="4822"/>
      <c r="AE278" s="4822"/>
      <c r="AF278" s="4822"/>
      <c r="AG278" s="4822"/>
      <c r="AH278" s="4822"/>
      <c r="AI278" s="4822"/>
      <c r="AJ278" s="4823"/>
      <c r="AK278" s="2013" t="s">
        <v>622</v>
      </c>
      <c r="AL278" s="1978"/>
      <c r="AM278" s="1979"/>
      <c r="AN278" s="1979" t="str">
        <f t="shared" si="4"/>
        <v>Наименование признака дифференциации</v>
      </c>
      <c r="AO278" s="1979"/>
      <c r="AP278" s="1979"/>
    </row>
    <row r="279" spans="1:42" s="3008" customFormat="1" ht="23.25" customHeight="1">
      <c r="A279" s="1967"/>
      <c r="B279" s="1967"/>
      <c r="C279" s="1967"/>
      <c r="D279" s="1967"/>
      <c r="E279" s="4760" t="s">
        <v>151</v>
      </c>
      <c r="F279" s="4760"/>
      <c r="G279" s="4760"/>
      <c r="H279" s="4760"/>
      <c r="I279" s="4780"/>
      <c r="J279" s="4757" t="str">
        <f>I278&amp;".1"</f>
        <v>10.1.1.1.1</v>
      </c>
      <c r="K279" s="1967"/>
      <c r="L279" s="1968" t="s">
        <v>547</v>
      </c>
      <c r="M279" s="1969"/>
      <c r="N279" s="1969"/>
      <c r="O279" s="1969"/>
      <c r="P279" s="4758"/>
      <c r="Q279" s="4758">
        <v>1</v>
      </c>
      <c r="R279" s="1981"/>
      <c r="S279" s="1972" t="str">
        <f>$J279</f>
        <v>10.1.1.1.1</v>
      </c>
      <c r="T279" s="1987" t="s">
        <v>548</v>
      </c>
      <c r="U279" s="1974"/>
      <c r="V279" s="4748"/>
      <c r="W279" s="4749"/>
      <c r="X279" s="4749"/>
      <c r="Y279" s="4749"/>
      <c r="Z279" s="4749"/>
      <c r="AA279" s="4749"/>
      <c r="AB279" s="4750"/>
      <c r="AC279" s="4748" t="s">
        <v>657</v>
      </c>
      <c r="AD279" s="4749"/>
      <c r="AE279" s="4749"/>
      <c r="AF279" s="4749"/>
      <c r="AG279" s="4749"/>
      <c r="AH279" s="4749"/>
      <c r="AI279" s="4749"/>
      <c r="AJ279" s="4750"/>
      <c r="AK279" s="1988" t="s">
        <v>623</v>
      </c>
      <c r="AL279" s="1978"/>
      <c r="AM279" s="1979"/>
      <c r="AN279" s="1979" t="str">
        <f t="shared" si="4"/>
        <v>Группа потребителей</v>
      </c>
      <c r="AO279" s="1979"/>
      <c r="AP279" s="1979"/>
    </row>
    <row r="280" spans="1:42" s="3009" customFormat="1" ht="23.25" customHeight="1">
      <c r="A280" s="1967"/>
      <c r="B280" s="1967"/>
      <c r="C280" s="1967"/>
      <c r="D280" s="1967"/>
      <c r="E280" s="4760" t="s">
        <v>151</v>
      </c>
      <c r="F280" s="4760"/>
      <c r="G280" s="4760"/>
      <c r="H280" s="4760"/>
      <c r="I280" s="4780"/>
      <c r="J280" s="4780"/>
      <c r="K280" s="4757" t="str">
        <f>J279&amp;".1"</f>
        <v>10.1.1.1.1.1</v>
      </c>
      <c r="L280" s="1968"/>
      <c r="M280" s="1969"/>
      <c r="N280" s="1969"/>
      <c r="O280" s="1969"/>
      <c r="P280" s="4758"/>
      <c r="Q280" s="4758"/>
      <c r="R280" s="1981">
        <v>1</v>
      </c>
      <c r="S280" s="1972" t="str">
        <f>$K280</f>
        <v>10.1.1.1.1.1</v>
      </c>
      <c r="T280" s="1973" t="s">
        <v>658</v>
      </c>
      <c r="U280" s="1974"/>
      <c r="V280" s="1975"/>
      <c r="W280" s="1975"/>
      <c r="X280" s="1976"/>
      <c r="Y280" s="4762"/>
      <c r="Z280" s="4608" t="s">
        <v>65</v>
      </c>
      <c r="AA280" s="4762"/>
      <c r="AB280" s="4608" t="s">
        <v>65</v>
      </c>
      <c r="AC280" s="1975">
        <v>16.66</v>
      </c>
      <c r="AD280" s="1975"/>
      <c r="AE280" s="1976"/>
      <c r="AF280" s="4762">
        <v>45292</v>
      </c>
      <c r="AG280" s="4608" t="s">
        <v>65</v>
      </c>
      <c r="AH280" s="4781">
        <v>45473</v>
      </c>
      <c r="AI280" s="4608" t="s">
        <v>65</v>
      </c>
      <c r="AJ280" s="1977"/>
      <c r="AK28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0" s="1978" t="e">
        <f ca="1">STRCHECKDATE(V281:AJ281)</f>
        <v>#NAME?</v>
      </c>
      <c r="AM280" s="1979"/>
      <c r="AN280" s="1979" t="str">
        <f t="shared" si="4"/>
        <v>Население (с учетом НДС)</v>
      </c>
      <c r="AO280" s="1979"/>
      <c r="AP280" s="1979"/>
    </row>
    <row r="281" spans="1:42" s="3010" customFormat="1" ht="14.25" customHeight="1">
      <c r="A281" s="1967"/>
      <c r="B281" s="1967"/>
      <c r="C281" s="1967"/>
      <c r="D281" s="1967"/>
      <c r="E281" s="4760" t="s">
        <v>151</v>
      </c>
      <c r="F281" s="4760"/>
      <c r="G281" s="4760"/>
      <c r="H281" s="4760"/>
      <c r="I281" s="4780"/>
      <c r="J281" s="4780"/>
      <c r="K281" s="4757"/>
      <c r="L281" s="1968"/>
      <c r="M281" s="1969"/>
      <c r="N281" s="1969"/>
      <c r="O281" s="1969"/>
      <c r="P281" s="4758"/>
      <c r="Q281" s="4758"/>
      <c r="R281" s="1981"/>
      <c r="S281" s="1982"/>
      <c r="T281" s="1974"/>
      <c r="U281" s="1974"/>
      <c r="V281" s="1983"/>
      <c r="W281" s="1983"/>
      <c r="X281" s="1984" t="str">
        <f>Y280&amp;"-"&amp;AA280</f>
        <v>-</v>
      </c>
      <c r="Y281" s="4763"/>
      <c r="Z281" s="4608"/>
      <c r="AA281" s="4763"/>
      <c r="AB281" s="4608"/>
      <c r="AC281" s="1983"/>
      <c r="AD281" s="1983"/>
      <c r="AE281" s="1984" t="str">
        <f>AF280&amp;"-"&amp;AH280</f>
        <v>45292-45473</v>
      </c>
      <c r="AF281" s="4763"/>
      <c r="AG281" s="4608"/>
      <c r="AH281" s="4782"/>
      <c r="AI281" s="4608"/>
      <c r="AJ281" s="1985"/>
      <c r="AK281" s="4817"/>
      <c r="AL281" s="1978"/>
      <c r="AM281" s="1979"/>
      <c r="AN281" s="1979" t="str">
        <f t="shared" si="4"/>
        <v/>
      </c>
      <c r="AO281" s="1979"/>
      <c r="AP281" s="1979"/>
    </row>
    <row r="282" spans="1:42" s="3011" customFormat="1" ht="23.25" customHeight="1">
      <c r="A282" s="1967"/>
      <c r="B282" s="1967"/>
      <c r="C282" s="1967"/>
      <c r="D282" s="1967"/>
      <c r="E282" s="4760"/>
      <c r="F282" s="4760"/>
      <c r="G282" s="4760"/>
      <c r="H282" s="4760"/>
      <c r="I282" s="4780"/>
      <c r="J282" s="4780"/>
      <c r="K282" s="4757" t="str">
        <f>J279&amp;".2"</f>
        <v>10.1.1.1.1.2</v>
      </c>
      <c r="L282" s="1968"/>
      <c r="M282" s="1969"/>
      <c r="N282" s="1969"/>
      <c r="O282" s="1969"/>
      <c r="P282" s="4758"/>
      <c r="Q282" s="4758"/>
      <c r="R282" s="1971" t="s">
        <v>102</v>
      </c>
      <c r="S282" s="1972" t="str">
        <f>$K282</f>
        <v>10.1.1.1.1.2</v>
      </c>
      <c r="T282" s="1973" t="s">
        <v>658</v>
      </c>
      <c r="U282" s="1974"/>
      <c r="V282" s="1975"/>
      <c r="W282" s="1975"/>
      <c r="X282" s="1976"/>
      <c r="Y282" s="4762"/>
      <c r="Z282" s="4608" t="s">
        <v>65</v>
      </c>
      <c r="AA282" s="4762"/>
      <c r="AB282" s="4608" t="s">
        <v>65</v>
      </c>
      <c r="AC282" s="1975">
        <v>18.149999999999999</v>
      </c>
      <c r="AD282" s="1975"/>
      <c r="AE282" s="1976"/>
      <c r="AF282" s="4762">
        <v>45474</v>
      </c>
      <c r="AG282" s="4608" t="s">
        <v>65</v>
      </c>
      <c r="AH282" s="4781">
        <v>45657</v>
      </c>
      <c r="AI282" s="4608" t="s">
        <v>65</v>
      </c>
      <c r="AJ282" s="1977"/>
      <c r="AK28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2" s="1978" t="e">
        <f ca="1">STRCHECKDATE(V283:AJ283)</f>
        <v>#NAME?</v>
      </c>
      <c r="AM282" s="1979"/>
      <c r="AN282" s="1979" t="str">
        <f t="shared" si="4"/>
        <v>Население (с учетом НДС)</v>
      </c>
      <c r="AO282" s="1979"/>
      <c r="AP282" s="1979"/>
    </row>
    <row r="283" spans="1:42" s="3012" customFormat="1" ht="14.25" customHeight="1">
      <c r="A283" s="1967"/>
      <c r="B283" s="1967"/>
      <c r="C283" s="1967"/>
      <c r="D283" s="1967"/>
      <c r="E283" s="4760"/>
      <c r="F283" s="4760"/>
      <c r="G283" s="4760"/>
      <c r="H283" s="4760"/>
      <c r="I283" s="4780"/>
      <c r="J283" s="4780"/>
      <c r="K283" s="4757" t="str">
        <f>J279&amp;".1"</f>
        <v>10.1.1.1.1.1</v>
      </c>
      <c r="L283" s="1968"/>
      <c r="M283" s="1969"/>
      <c r="N283" s="1969"/>
      <c r="O283" s="1969"/>
      <c r="P283" s="4758"/>
      <c r="Q283" s="4758"/>
      <c r="R283" s="1981"/>
      <c r="S283" s="1982"/>
      <c r="T283" s="1974"/>
      <c r="U283" s="1974"/>
      <c r="V283" s="1983"/>
      <c r="W283" s="1983"/>
      <c r="X283" s="1984" t="str">
        <f>Y282&amp;"-"&amp;AA282</f>
        <v>-</v>
      </c>
      <c r="Y283" s="4763"/>
      <c r="Z283" s="4608"/>
      <c r="AA283" s="4763"/>
      <c r="AB283" s="4608"/>
      <c r="AC283" s="1983"/>
      <c r="AD283" s="1983"/>
      <c r="AE283" s="1984" t="str">
        <f>AF282&amp;"-"&amp;AH282</f>
        <v>45474-45657</v>
      </c>
      <c r="AF283" s="4763"/>
      <c r="AG283" s="4608"/>
      <c r="AH283" s="4782"/>
      <c r="AI283" s="4608"/>
      <c r="AJ283" s="1985"/>
      <c r="AK283" s="4817"/>
      <c r="AL283" s="1978"/>
      <c r="AM283" s="1979"/>
      <c r="AN283" s="1979" t="str">
        <f t="shared" si="4"/>
        <v/>
      </c>
      <c r="AO283" s="1979"/>
      <c r="AP283" s="1979"/>
    </row>
    <row r="284" spans="1:42" s="3013" customFormat="1" ht="21" customHeight="1">
      <c r="A284" s="1967"/>
      <c r="B284" s="1967"/>
      <c r="C284" s="1967"/>
      <c r="D284" s="1967"/>
      <c r="E284" s="4760" t="s">
        <v>151</v>
      </c>
      <c r="F284" s="4760"/>
      <c r="G284" s="4760"/>
      <c r="H284" s="4760"/>
      <c r="I284" s="4780"/>
      <c r="J284" s="4757"/>
      <c r="K284" s="1967"/>
      <c r="L284" s="1968"/>
      <c r="M284" s="1969"/>
      <c r="N284" s="1969"/>
      <c r="O284" s="1969"/>
      <c r="P284" s="4758"/>
      <c r="Q284" s="4758"/>
      <c r="R284" s="1994"/>
      <c r="S284" s="3014"/>
      <c r="T284" s="3015" t="s">
        <v>624</v>
      </c>
      <c r="U284" s="3016"/>
      <c r="V284" s="3017"/>
      <c r="W284" s="3018"/>
      <c r="X284" s="3019"/>
      <c r="Y284" s="3020"/>
      <c r="Z284" s="3021"/>
      <c r="AA284" s="3022"/>
      <c r="AB284" s="3023"/>
      <c r="AC284" s="3024"/>
      <c r="AD284" s="3025"/>
      <c r="AE284" s="3026"/>
      <c r="AF284" s="3027"/>
      <c r="AG284" s="3028"/>
      <c r="AH284" s="3029"/>
      <c r="AI284" s="3030"/>
      <c r="AJ284" s="3031"/>
      <c r="AK284" s="2013" t="s">
        <v>625</v>
      </c>
      <c r="AL284" s="1978"/>
      <c r="AM284" s="1979"/>
      <c r="AN284" s="1979" t="str">
        <f t="shared" si="4"/>
        <v>Добавить значение признака дифференциации</v>
      </c>
      <c r="AO284" s="1979"/>
      <c r="AP284" s="1979"/>
    </row>
    <row r="285" spans="1:42" s="3032" customFormat="1" ht="23.25" customHeight="1">
      <c r="A285" s="1967"/>
      <c r="B285" s="1967"/>
      <c r="C285" s="1967"/>
      <c r="D285" s="1967"/>
      <c r="E285" s="4760"/>
      <c r="F285" s="4760"/>
      <c r="G285" s="4760"/>
      <c r="H285" s="4760"/>
      <c r="I285" s="4780"/>
      <c r="J285" s="4757" t="str">
        <f>I278&amp;".2"</f>
        <v>10.1.1.1.2</v>
      </c>
      <c r="K285" s="1967"/>
      <c r="L285" s="1968" t="s">
        <v>547</v>
      </c>
      <c r="M285" s="1969"/>
      <c r="N285" s="1969"/>
      <c r="O285" s="1969"/>
      <c r="P285" s="4758"/>
      <c r="Q285" s="4833" t="s">
        <v>102</v>
      </c>
      <c r="R285" s="1981"/>
      <c r="S285" s="1972" t="str">
        <f>$J285</f>
        <v>10.1.1.1.2</v>
      </c>
      <c r="T285" s="1987" t="s">
        <v>548</v>
      </c>
      <c r="U285" s="1974"/>
      <c r="V285" s="4748"/>
      <c r="W285" s="4749"/>
      <c r="X285" s="4749"/>
      <c r="Y285" s="4749"/>
      <c r="Z285" s="4749"/>
      <c r="AA285" s="4749"/>
      <c r="AB285" s="4750"/>
      <c r="AC285" s="4748" t="s">
        <v>659</v>
      </c>
      <c r="AD285" s="4749"/>
      <c r="AE285" s="4749"/>
      <c r="AF285" s="4749"/>
      <c r="AG285" s="4749"/>
      <c r="AH285" s="4749"/>
      <c r="AI285" s="4749"/>
      <c r="AJ285" s="4750"/>
      <c r="AK285" s="1988" t="s">
        <v>623</v>
      </c>
      <c r="AL285" s="1978"/>
      <c r="AM285" s="1979"/>
      <c r="AN285" s="1979" t="str">
        <f t="shared" si="4"/>
        <v>Группа потребителей</v>
      </c>
      <c r="AO285" s="1979"/>
      <c r="AP285" s="1979"/>
    </row>
    <row r="286" spans="1:42" s="3033" customFormat="1" ht="23.25" customHeight="1">
      <c r="A286" s="1967"/>
      <c r="B286" s="1967"/>
      <c r="C286" s="1967"/>
      <c r="D286" s="1967"/>
      <c r="E286" s="4760"/>
      <c r="F286" s="4760"/>
      <c r="G286" s="4760"/>
      <c r="H286" s="4760"/>
      <c r="I286" s="4780"/>
      <c r="J286" s="4780" t="str">
        <f>I278&amp;".1"</f>
        <v>10.1.1.1.1</v>
      </c>
      <c r="K286" s="4757" t="str">
        <f>J285&amp;".1"</f>
        <v>10.1.1.1.2.1</v>
      </c>
      <c r="L286" s="1968"/>
      <c r="M286" s="1969"/>
      <c r="N286" s="1969"/>
      <c r="O286" s="1969"/>
      <c r="P286" s="4758"/>
      <c r="Q286" s="4758"/>
      <c r="R286" s="1981">
        <v>1</v>
      </c>
      <c r="S286" s="1972" t="str">
        <f>$K286</f>
        <v>10.1.1.1.2.1</v>
      </c>
      <c r="T286" s="1973" t="s">
        <v>660</v>
      </c>
      <c r="U286" s="1974"/>
      <c r="V286" s="1975"/>
      <c r="W286" s="1975"/>
      <c r="X286" s="1976"/>
      <c r="Y286" s="4762"/>
      <c r="Z286" s="4608" t="s">
        <v>65</v>
      </c>
      <c r="AA286" s="4762"/>
      <c r="AB286" s="4608" t="s">
        <v>65</v>
      </c>
      <c r="AC286" s="1975">
        <v>13.88</v>
      </c>
      <c r="AD286" s="1975"/>
      <c r="AE286" s="1976"/>
      <c r="AF286" s="4762">
        <v>45292</v>
      </c>
      <c r="AG286" s="4608" t="s">
        <v>65</v>
      </c>
      <c r="AH286" s="4781">
        <v>45473</v>
      </c>
      <c r="AI286" s="4608" t="s">
        <v>65</v>
      </c>
      <c r="AJ286" s="1977"/>
      <c r="AK28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6" s="1978" t="e">
        <f ca="1">STRCHECKDATE(V287:AJ287)</f>
        <v>#NAME?</v>
      </c>
      <c r="AM286" s="1979"/>
      <c r="AN286" s="1979" t="str">
        <f t="shared" si="4"/>
        <v>Потребители, кроме населения (без учета НДС)</v>
      </c>
      <c r="AO286" s="1979"/>
      <c r="AP286" s="1979"/>
    </row>
    <row r="287" spans="1:42" s="3034" customFormat="1" ht="14.25" customHeight="1">
      <c r="A287" s="1967"/>
      <c r="B287" s="1967"/>
      <c r="C287" s="1967"/>
      <c r="D287" s="1967"/>
      <c r="E287" s="4760"/>
      <c r="F287" s="4760"/>
      <c r="G287" s="4760"/>
      <c r="H287" s="4760"/>
      <c r="I287" s="4780"/>
      <c r="J287" s="4780" t="str">
        <f>I278&amp;".1"</f>
        <v>10.1.1.1.1</v>
      </c>
      <c r="K287" s="4757"/>
      <c r="L287" s="1968"/>
      <c r="M287" s="1969"/>
      <c r="N287" s="1969"/>
      <c r="O287" s="1969"/>
      <c r="P287" s="4758"/>
      <c r="Q287" s="4758"/>
      <c r="R287" s="1981"/>
      <c r="S287" s="1982"/>
      <c r="T287" s="1974"/>
      <c r="U287" s="1974"/>
      <c r="V287" s="1983"/>
      <c r="W287" s="1983"/>
      <c r="X287" s="1984" t="str">
        <f>Y286&amp;"-"&amp;AA286</f>
        <v>-</v>
      </c>
      <c r="Y287" s="4763"/>
      <c r="Z287" s="4608"/>
      <c r="AA287" s="4763"/>
      <c r="AB287" s="4608"/>
      <c r="AC287" s="1983"/>
      <c r="AD287" s="1983"/>
      <c r="AE287" s="1984" t="str">
        <f>AF286&amp;"-"&amp;AH286</f>
        <v>45292-45473</v>
      </c>
      <c r="AF287" s="4763"/>
      <c r="AG287" s="4608"/>
      <c r="AH287" s="4782"/>
      <c r="AI287" s="4608"/>
      <c r="AJ287" s="1985"/>
      <c r="AK287" s="4817"/>
      <c r="AL287" s="1978"/>
      <c r="AM287" s="1979"/>
      <c r="AN287" s="1979" t="str">
        <f t="shared" si="4"/>
        <v/>
      </c>
      <c r="AO287" s="1979"/>
      <c r="AP287" s="1979"/>
    </row>
    <row r="288" spans="1:42" s="3035" customFormat="1" ht="23.25" customHeight="1">
      <c r="A288" s="1967"/>
      <c r="B288" s="1967"/>
      <c r="C288" s="1967"/>
      <c r="D288" s="1967"/>
      <c r="E288" s="4760"/>
      <c r="F288" s="4760"/>
      <c r="G288" s="4760"/>
      <c r="H288" s="4760"/>
      <c r="I288" s="4780"/>
      <c r="J288" s="4780"/>
      <c r="K288" s="4757" t="str">
        <f>J285&amp;".2"</f>
        <v>10.1.1.1.2.2</v>
      </c>
      <c r="L288" s="1968"/>
      <c r="M288" s="1969"/>
      <c r="N288" s="1969"/>
      <c r="O288" s="1969"/>
      <c r="P288" s="4758"/>
      <c r="Q288" s="4758"/>
      <c r="R288" s="1971" t="s">
        <v>102</v>
      </c>
      <c r="S288" s="1972" t="str">
        <f>$K288</f>
        <v>10.1.1.1.2.2</v>
      </c>
      <c r="T288" s="1973" t="s">
        <v>660</v>
      </c>
      <c r="U288" s="1974"/>
      <c r="V288" s="1975"/>
      <c r="W288" s="1975"/>
      <c r="X288" s="1976"/>
      <c r="Y288" s="4762"/>
      <c r="Z288" s="4608" t="s">
        <v>65</v>
      </c>
      <c r="AA288" s="4762"/>
      <c r="AB288" s="4608" t="s">
        <v>65</v>
      </c>
      <c r="AC288" s="1975">
        <v>54.64</v>
      </c>
      <c r="AD288" s="1975"/>
      <c r="AE288" s="1976"/>
      <c r="AF288" s="4762">
        <v>45474</v>
      </c>
      <c r="AG288" s="4608" t="s">
        <v>65</v>
      </c>
      <c r="AH288" s="4781">
        <v>45657</v>
      </c>
      <c r="AI288" s="4608" t="s">
        <v>65</v>
      </c>
      <c r="AJ288" s="1977"/>
      <c r="AK28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8" s="1978" t="e">
        <f ca="1">STRCHECKDATE(V289:AJ289)</f>
        <v>#NAME?</v>
      </c>
      <c r="AM288" s="1979"/>
      <c r="AN288" s="1979" t="str">
        <f t="shared" si="4"/>
        <v>Потребители, кроме населения (без учета НДС)</v>
      </c>
      <c r="AO288" s="1979"/>
      <c r="AP288" s="1979"/>
    </row>
    <row r="289" spans="1:42" s="3036" customFormat="1" ht="14.25" customHeight="1">
      <c r="A289" s="1967"/>
      <c r="B289" s="1967"/>
      <c r="C289" s="1967"/>
      <c r="D289" s="1967"/>
      <c r="E289" s="4760"/>
      <c r="F289" s="4760"/>
      <c r="G289" s="4760"/>
      <c r="H289" s="4760"/>
      <c r="I289" s="4780"/>
      <c r="J289" s="4780"/>
      <c r="K289" s="4757" t="str">
        <f>J285&amp;".1"</f>
        <v>10.1.1.1.2.1</v>
      </c>
      <c r="L289" s="1968"/>
      <c r="M289" s="1969"/>
      <c r="N289" s="1969"/>
      <c r="O289" s="1969"/>
      <c r="P289" s="4758"/>
      <c r="Q289" s="4758"/>
      <c r="R289" s="1981"/>
      <c r="S289" s="1982"/>
      <c r="T289" s="1974"/>
      <c r="U289" s="1974"/>
      <c r="V289" s="1983"/>
      <c r="W289" s="1983"/>
      <c r="X289" s="1984" t="str">
        <f>Y288&amp;"-"&amp;AA288</f>
        <v>-</v>
      </c>
      <c r="Y289" s="4763"/>
      <c r="Z289" s="4608"/>
      <c r="AA289" s="4763"/>
      <c r="AB289" s="4608"/>
      <c r="AC289" s="1983"/>
      <c r="AD289" s="1983"/>
      <c r="AE289" s="1984" t="str">
        <f>AF288&amp;"-"&amp;AH288</f>
        <v>45474-45657</v>
      </c>
      <c r="AF289" s="4763"/>
      <c r="AG289" s="4608"/>
      <c r="AH289" s="4782"/>
      <c r="AI289" s="4608"/>
      <c r="AJ289" s="1985"/>
      <c r="AK289" s="4817"/>
      <c r="AL289" s="1978"/>
      <c r="AM289" s="1979"/>
      <c r="AN289" s="1979" t="str">
        <f t="shared" si="4"/>
        <v/>
      </c>
      <c r="AO289" s="1979"/>
      <c r="AP289" s="1979"/>
    </row>
    <row r="290" spans="1:42" s="3037" customFormat="1" ht="21" customHeight="1">
      <c r="A290" s="1967"/>
      <c r="B290" s="1967"/>
      <c r="C290" s="1967"/>
      <c r="D290" s="1967"/>
      <c r="E290" s="4760"/>
      <c r="F290" s="4760"/>
      <c r="G290" s="4760"/>
      <c r="H290" s="4760"/>
      <c r="I290" s="4780"/>
      <c r="J290" s="4757" t="str">
        <f>I278&amp;".1"</f>
        <v>10.1.1.1.1</v>
      </c>
      <c r="K290" s="1967"/>
      <c r="L290" s="1968"/>
      <c r="M290" s="1969"/>
      <c r="N290" s="1969"/>
      <c r="O290" s="1969"/>
      <c r="P290" s="4758"/>
      <c r="Q290" s="4758"/>
      <c r="R290" s="1994"/>
      <c r="S290" s="3038"/>
      <c r="T290" s="3039" t="s">
        <v>624</v>
      </c>
      <c r="U290" s="3040"/>
      <c r="V290" s="3041"/>
      <c r="W290" s="3042"/>
      <c r="X290" s="3043"/>
      <c r="Y290" s="3044"/>
      <c r="Z290" s="3045"/>
      <c r="AA290" s="3046"/>
      <c r="AB290" s="3047"/>
      <c r="AC290" s="3048"/>
      <c r="AD290" s="3049"/>
      <c r="AE290" s="3050"/>
      <c r="AF290" s="3051"/>
      <c r="AG290" s="3052"/>
      <c r="AH290" s="3053"/>
      <c r="AI290" s="3054"/>
      <c r="AJ290" s="3055"/>
      <c r="AK290" s="2013" t="s">
        <v>625</v>
      </c>
      <c r="AL290" s="1978"/>
      <c r="AM290" s="1979"/>
      <c r="AN290" s="1979" t="str">
        <f t="shared" si="4"/>
        <v>Добавить значение признака дифференциации</v>
      </c>
      <c r="AO290" s="1979"/>
      <c r="AP290" s="1979"/>
    </row>
    <row r="291" spans="1:42" s="3056" customFormat="1" ht="23.25" customHeight="1">
      <c r="A291" s="1967"/>
      <c r="B291" s="1967"/>
      <c r="C291" s="1967"/>
      <c r="D291" s="1967"/>
      <c r="E291" s="4760"/>
      <c r="F291" s="4760"/>
      <c r="G291" s="4760"/>
      <c r="H291" s="4760"/>
      <c r="I291" s="4780"/>
      <c r="J291" s="4757" t="str">
        <f>I278&amp;".3"</f>
        <v>10.1.1.1.3</v>
      </c>
      <c r="K291" s="1967"/>
      <c r="L291" s="1968" t="s">
        <v>547</v>
      </c>
      <c r="M291" s="1969"/>
      <c r="N291" s="1969"/>
      <c r="O291" s="1969"/>
      <c r="P291" s="4758"/>
      <c r="Q291" s="4833" t="s">
        <v>102</v>
      </c>
      <c r="R291" s="1981"/>
      <c r="S291" s="1972" t="str">
        <f>$J291</f>
        <v>10.1.1.1.3</v>
      </c>
      <c r="T291" s="1987" t="s">
        <v>548</v>
      </c>
      <c r="U291" s="1974"/>
      <c r="V291" s="4748"/>
      <c r="W291" s="4749"/>
      <c r="X291" s="4749"/>
      <c r="Y291" s="4749"/>
      <c r="Z291" s="4749"/>
      <c r="AA291" s="4749"/>
      <c r="AB291" s="4750"/>
      <c r="AC291" s="4748" t="s">
        <v>661</v>
      </c>
      <c r="AD291" s="4749"/>
      <c r="AE291" s="4749"/>
      <c r="AF291" s="4749"/>
      <c r="AG291" s="4749"/>
      <c r="AH291" s="4749"/>
      <c r="AI291" s="4749"/>
      <c r="AJ291" s="4750"/>
      <c r="AK291" s="1988" t="s">
        <v>623</v>
      </c>
      <c r="AL291" s="1978"/>
      <c r="AM291" s="1979"/>
      <c r="AN291" s="1979" t="str">
        <f t="shared" si="4"/>
        <v>Группа потребителей</v>
      </c>
      <c r="AO291" s="1979"/>
      <c r="AP291" s="1979"/>
    </row>
    <row r="292" spans="1:42" s="3057" customFormat="1" ht="23.25" customHeight="1">
      <c r="A292" s="1967"/>
      <c r="B292" s="1967"/>
      <c r="C292" s="1967"/>
      <c r="D292" s="1967"/>
      <c r="E292" s="4760"/>
      <c r="F292" s="4760"/>
      <c r="G292" s="4760"/>
      <c r="H292" s="4760"/>
      <c r="I292" s="4780"/>
      <c r="J292" s="4780" t="str">
        <f>I278&amp;".2"</f>
        <v>10.1.1.1.2</v>
      </c>
      <c r="K292" s="4757" t="str">
        <f>J291&amp;".1"</f>
        <v>10.1.1.1.3.1</v>
      </c>
      <c r="L292" s="1968"/>
      <c r="M292" s="1969"/>
      <c r="N292" s="1969"/>
      <c r="O292" s="1969"/>
      <c r="P292" s="4758"/>
      <c r="Q292" s="4758"/>
      <c r="R292" s="1981">
        <v>1</v>
      </c>
      <c r="S292" s="1972" t="str">
        <f>$K292</f>
        <v>10.1.1.1.3.1</v>
      </c>
      <c r="T292" s="1973" t="s">
        <v>660</v>
      </c>
      <c r="U292" s="1974"/>
      <c r="V292" s="1975"/>
      <c r="W292" s="1975"/>
      <c r="X292" s="1976"/>
      <c r="Y292" s="4762"/>
      <c r="Z292" s="4608" t="s">
        <v>65</v>
      </c>
      <c r="AA292" s="4762"/>
      <c r="AB292" s="4608" t="s">
        <v>65</v>
      </c>
      <c r="AC292" s="1975">
        <v>13.88</v>
      </c>
      <c r="AD292" s="1975"/>
      <c r="AE292" s="1976"/>
      <c r="AF292" s="4762">
        <v>45292</v>
      </c>
      <c r="AG292" s="4608" t="s">
        <v>65</v>
      </c>
      <c r="AH292" s="4781">
        <v>45473</v>
      </c>
      <c r="AI292" s="4608" t="s">
        <v>65</v>
      </c>
      <c r="AJ292" s="1977"/>
      <c r="AK29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2" s="1978" t="e">
        <f ca="1">STRCHECKDATE(V293:AJ293)</f>
        <v>#NAME?</v>
      </c>
      <c r="AM292" s="1979"/>
      <c r="AN292" s="1979" t="str">
        <f t="shared" si="4"/>
        <v>Потребители, кроме населения (без учета НДС)</v>
      </c>
      <c r="AO292" s="1979"/>
      <c r="AP292" s="1979"/>
    </row>
    <row r="293" spans="1:42" s="3058" customFormat="1" ht="14.25" customHeight="1">
      <c r="A293" s="1967"/>
      <c r="B293" s="1967"/>
      <c r="C293" s="1967"/>
      <c r="D293" s="1967"/>
      <c r="E293" s="4760"/>
      <c r="F293" s="4760"/>
      <c r="G293" s="4760"/>
      <c r="H293" s="4760"/>
      <c r="I293" s="4780"/>
      <c r="J293" s="4780" t="str">
        <f>I278&amp;".2"</f>
        <v>10.1.1.1.2</v>
      </c>
      <c r="K293" s="4757"/>
      <c r="L293" s="1968"/>
      <c r="M293" s="1969"/>
      <c r="N293" s="1969"/>
      <c r="O293" s="1969"/>
      <c r="P293" s="4758"/>
      <c r="Q293" s="4758"/>
      <c r="R293" s="1981"/>
      <c r="S293" s="1982"/>
      <c r="T293" s="1974"/>
      <c r="U293" s="1974"/>
      <c r="V293" s="1983"/>
      <c r="W293" s="1983"/>
      <c r="X293" s="1984" t="str">
        <f>Y292&amp;"-"&amp;AA292</f>
        <v>-</v>
      </c>
      <c r="Y293" s="4763"/>
      <c r="Z293" s="4608"/>
      <c r="AA293" s="4763"/>
      <c r="AB293" s="4608"/>
      <c r="AC293" s="1983"/>
      <c r="AD293" s="1983"/>
      <c r="AE293" s="1984" t="str">
        <f>AF292&amp;"-"&amp;AH292</f>
        <v>45292-45473</v>
      </c>
      <c r="AF293" s="4763"/>
      <c r="AG293" s="4608"/>
      <c r="AH293" s="4782"/>
      <c r="AI293" s="4608"/>
      <c r="AJ293" s="1985"/>
      <c r="AK293" s="4817"/>
      <c r="AL293" s="1978"/>
      <c r="AM293" s="1979"/>
      <c r="AN293" s="1979" t="str">
        <f t="shared" si="4"/>
        <v/>
      </c>
      <c r="AO293" s="1979"/>
      <c r="AP293" s="1979"/>
    </row>
    <row r="294" spans="1:42" s="3059" customFormat="1" ht="23.25" customHeight="1">
      <c r="A294" s="1967"/>
      <c r="B294" s="1967"/>
      <c r="C294" s="1967"/>
      <c r="D294" s="1967"/>
      <c r="E294" s="4760"/>
      <c r="F294" s="4760"/>
      <c r="G294" s="4760"/>
      <c r="H294" s="4760"/>
      <c r="I294" s="4780"/>
      <c r="J294" s="4780"/>
      <c r="K294" s="4757" t="str">
        <f>J291&amp;".2"</f>
        <v>10.1.1.1.3.2</v>
      </c>
      <c r="L294" s="1968"/>
      <c r="M294" s="1969"/>
      <c r="N294" s="1969"/>
      <c r="O294" s="1969"/>
      <c r="P294" s="4758"/>
      <c r="Q294" s="4758"/>
      <c r="R294" s="1971" t="s">
        <v>102</v>
      </c>
      <c r="S294" s="1972" t="str">
        <f>$K294</f>
        <v>10.1.1.1.3.2</v>
      </c>
      <c r="T294" s="1973" t="s">
        <v>660</v>
      </c>
      <c r="U294" s="1974"/>
      <c r="V294" s="1975"/>
      <c r="W294" s="1975"/>
      <c r="X294" s="1976"/>
      <c r="Y294" s="4762"/>
      <c r="Z294" s="4608" t="s">
        <v>65</v>
      </c>
      <c r="AA294" s="4762"/>
      <c r="AB294" s="4608" t="s">
        <v>65</v>
      </c>
      <c r="AC294" s="1975">
        <v>54.64</v>
      </c>
      <c r="AD294" s="1975"/>
      <c r="AE294" s="1976"/>
      <c r="AF294" s="4762">
        <v>45474</v>
      </c>
      <c r="AG294" s="4608" t="s">
        <v>65</v>
      </c>
      <c r="AH294" s="4781">
        <v>45657</v>
      </c>
      <c r="AI294" s="4608" t="s">
        <v>65</v>
      </c>
      <c r="AJ294" s="1977"/>
      <c r="AK29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4" s="1978" t="e">
        <f ca="1">STRCHECKDATE(V295:AJ295)</f>
        <v>#NAME?</v>
      </c>
      <c r="AM294" s="1979"/>
      <c r="AN294" s="1979" t="str">
        <f t="shared" si="4"/>
        <v>Потребители, кроме населения (без учета НДС)</v>
      </c>
      <c r="AO294" s="1979"/>
      <c r="AP294" s="1979"/>
    </row>
    <row r="295" spans="1:42" s="3060" customFormat="1" ht="14.25" customHeight="1">
      <c r="A295" s="1967"/>
      <c r="B295" s="1967"/>
      <c r="C295" s="1967"/>
      <c r="D295" s="1967"/>
      <c r="E295" s="4760"/>
      <c r="F295" s="4760"/>
      <c r="G295" s="4760"/>
      <c r="H295" s="4760"/>
      <c r="I295" s="4780"/>
      <c r="J295" s="4780"/>
      <c r="K295" s="4757" t="str">
        <f>J291&amp;".1"</f>
        <v>10.1.1.1.3.1</v>
      </c>
      <c r="L295" s="1968"/>
      <c r="M295" s="1969"/>
      <c r="N295" s="1969"/>
      <c r="O295" s="1969"/>
      <c r="P295" s="4758"/>
      <c r="Q295" s="4758"/>
      <c r="R295" s="1981"/>
      <c r="S295" s="1982"/>
      <c r="T295" s="1974"/>
      <c r="U295" s="1974"/>
      <c r="V295" s="1983"/>
      <c r="W295" s="1983"/>
      <c r="X295" s="1984" t="str">
        <f>Y294&amp;"-"&amp;AA294</f>
        <v>-</v>
      </c>
      <c r="Y295" s="4763"/>
      <c r="Z295" s="4608"/>
      <c r="AA295" s="4763"/>
      <c r="AB295" s="4608"/>
      <c r="AC295" s="1983"/>
      <c r="AD295" s="1983"/>
      <c r="AE295" s="1984" t="str">
        <f>AF294&amp;"-"&amp;AH294</f>
        <v>45474-45657</v>
      </c>
      <c r="AF295" s="4763"/>
      <c r="AG295" s="4608"/>
      <c r="AH295" s="4782"/>
      <c r="AI295" s="4608"/>
      <c r="AJ295" s="1985"/>
      <c r="AK295" s="4817"/>
      <c r="AL295" s="1978"/>
      <c r="AM295" s="1979"/>
      <c r="AN295" s="1979" t="str">
        <f t="shared" si="4"/>
        <v/>
      </c>
      <c r="AO295" s="1979"/>
      <c r="AP295" s="1979"/>
    </row>
    <row r="296" spans="1:42" s="3061" customFormat="1" ht="21" customHeight="1">
      <c r="A296" s="1967"/>
      <c r="B296" s="1967"/>
      <c r="C296" s="1967"/>
      <c r="D296" s="1967"/>
      <c r="E296" s="4760"/>
      <c r="F296" s="4760"/>
      <c r="G296" s="4760"/>
      <c r="H296" s="4760"/>
      <c r="I296" s="4780"/>
      <c r="J296" s="4757" t="str">
        <f>I278&amp;".2"</f>
        <v>10.1.1.1.2</v>
      </c>
      <c r="K296" s="1967"/>
      <c r="L296" s="1968"/>
      <c r="M296" s="1969"/>
      <c r="N296" s="1969"/>
      <c r="O296" s="1969"/>
      <c r="P296" s="4758"/>
      <c r="Q296" s="4758"/>
      <c r="R296" s="1994"/>
      <c r="S296" s="3062"/>
      <c r="T296" s="3063" t="s">
        <v>624</v>
      </c>
      <c r="U296" s="3064"/>
      <c r="V296" s="3065"/>
      <c r="W296" s="3066"/>
      <c r="X296" s="3067"/>
      <c r="Y296" s="3068"/>
      <c r="Z296" s="3069"/>
      <c r="AA296" s="3070"/>
      <c r="AB296" s="3071"/>
      <c r="AC296" s="3072"/>
      <c r="AD296" s="3073"/>
      <c r="AE296" s="3074"/>
      <c r="AF296" s="3075"/>
      <c r="AG296" s="3076"/>
      <c r="AH296" s="3077"/>
      <c r="AI296" s="3078"/>
      <c r="AJ296" s="3079"/>
      <c r="AK296" s="2013" t="s">
        <v>625</v>
      </c>
      <c r="AL296" s="1978"/>
      <c r="AM296" s="1979"/>
      <c r="AN296" s="1979" t="str">
        <f t="shared" si="4"/>
        <v>Добавить значение признака дифференциации</v>
      </c>
      <c r="AO296" s="1979"/>
      <c r="AP296" s="1979"/>
    </row>
    <row r="297" spans="1:42" s="3080" customFormat="1" ht="21" customHeight="1">
      <c r="A297" s="1967"/>
      <c r="B297" s="1967"/>
      <c r="C297" s="1967"/>
      <c r="D297" s="1967"/>
      <c r="E297" s="4760" t="s">
        <v>151</v>
      </c>
      <c r="F297" s="4760"/>
      <c r="G297" s="4760"/>
      <c r="H297" s="4760"/>
      <c r="I297" s="4757"/>
      <c r="J297" s="1967"/>
      <c r="K297" s="1967"/>
      <c r="L297" s="1968"/>
      <c r="M297" s="1969"/>
      <c r="N297" s="1969"/>
      <c r="O297" s="1969"/>
      <c r="P297" s="4758"/>
      <c r="Q297" s="1970"/>
      <c r="R297" s="1994"/>
      <c r="S297" s="3081"/>
      <c r="T297" s="3082" t="s">
        <v>553</v>
      </c>
      <c r="U297" s="3083"/>
      <c r="V297" s="3084"/>
      <c r="W297" s="3085"/>
      <c r="X297" s="3086"/>
      <c r="Y297" s="3087"/>
      <c r="Z297" s="3088"/>
      <c r="AA297" s="3089"/>
      <c r="AB297" s="3090"/>
      <c r="AC297" s="3091"/>
      <c r="AD297" s="3092"/>
      <c r="AE297" s="3093"/>
      <c r="AF297" s="3094"/>
      <c r="AG297" s="3095"/>
      <c r="AH297" s="3096"/>
      <c r="AI297" s="3097"/>
      <c r="AJ297" s="3098"/>
      <c r="AK297" s="3099"/>
      <c r="AL297" s="1978"/>
      <c r="AM297" s="1979"/>
      <c r="AN297" s="1979" t="str">
        <f t="shared" ref="AN297:AN360" si="5">IF(T297="","",T297)</f>
        <v>Добавить группу потребителей</v>
      </c>
      <c r="AO297" s="1979"/>
      <c r="AP297" s="1979"/>
    </row>
    <row r="298" spans="1:42" s="3100" customFormat="1" ht="21" customHeight="1">
      <c r="A298" s="1967"/>
      <c r="B298" s="1967"/>
      <c r="C298" s="1967"/>
      <c r="D298" s="1967"/>
      <c r="E298" s="4760" t="s">
        <v>151</v>
      </c>
      <c r="F298" s="4760"/>
      <c r="G298" s="4760"/>
      <c r="H298" s="4759"/>
      <c r="I298" s="1967"/>
      <c r="J298" s="1967"/>
      <c r="K298" s="1967"/>
      <c r="L298" s="1968"/>
      <c r="M298" s="2039"/>
      <c r="N298" s="2039"/>
      <c r="O298" s="2147"/>
      <c r="P298" s="2041"/>
      <c r="Q298" s="2148"/>
      <c r="R298" s="2042"/>
      <c r="S298" s="3101"/>
      <c r="T298" s="3102" t="s">
        <v>626</v>
      </c>
      <c r="U298" s="3103"/>
      <c r="V298" s="3104"/>
      <c r="W298" s="3105"/>
      <c r="X298" s="3106"/>
      <c r="Y298" s="3107"/>
      <c r="Z298" s="3108"/>
      <c r="AA298" s="3109"/>
      <c r="AB298" s="3110"/>
      <c r="AC298" s="3111"/>
      <c r="AD298" s="3112"/>
      <c r="AE298" s="3113"/>
      <c r="AF298" s="3114"/>
      <c r="AG298" s="3115"/>
      <c r="AH298" s="3116"/>
      <c r="AI298" s="3117"/>
      <c r="AJ298" s="3118"/>
      <c r="AK298" s="3119"/>
      <c r="AL298" s="1978"/>
      <c r="AM298" s="1979"/>
      <c r="AN298" s="1979" t="str">
        <f t="shared" si="5"/>
        <v>Добавить наименование признака дифференциации</v>
      </c>
      <c r="AO298" s="1979"/>
      <c r="AP298" s="1979"/>
    </row>
    <row r="299" spans="1:42" s="3120" customFormat="1" ht="14.25" customHeight="1">
      <c r="A299" s="2169"/>
      <c r="B299" s="2169"/>
      <c r="C299" s="2169"/>
      <c r="D299" s="2169"/>
      <c r="E299" s="4760" t="s">
        <v>151</v>
      </c>
      <c r="F299" s="4759"/>
      <c r="G299" s="2169"/>
      <c r="H299" s="2169"/>
      <c r="I299" s="2169"/>
      <c r="J299" s="2169"/>
      <c r="K299" s="2169"/>
      <c r="L299" s="2170"/>
      <c r="M299" s="2171"/>
      <c r="N299" s="2171"/>
      <c r="O299" s="1978"/>
      <c r="P299" s="2172"/>
      <c r="Q299" s="2173"/>
      <c r="R299" s="2172"/>
      <c r="S299" s="2174"/>
      <c r="T299" s="2175" t="s">
        <v>316</v>
      </c>
      <c r="U299" s="2176"/>
      <c r="V299" s="2176"/>
      <c r="W299" s="2176"/>
      <c r="X299" s="2176"/>
      <c r="Y299" s="2176"/>
      <c r="Z299" s="2176"/>
      <c r="AA299" s="2176"/>
      <c r="AB299" s="2176"/>
      <c r="AC299" s="2176"/>
      <c r="AD299" s="2176"/>
      <c r="AE299" s="2176"/>
      <c r="AF299" s="2176"/>
      <c r="AG299" s="2176"/>
      <c r="AH299" s="2176"/>
      <c r="AI299" s="2176"/>
      <c r="AJ299" s="2176"/>
      <c r="AK299" s="2176"/>
      <c r="AL299" s="1978"/>
      <c r="AM299" s="1979"/>
      <c r="AN299" s="1979" t="str">
        <f t="shared" si="5"/>
        <v>Добавить централизованную систему для дифференциации</v>
      </c>
      <c r="AO299" s="1979"/>
      <c r="AP299" s="1979"/>
    </row>
    <row r="300" spans="1:42" s="3121" customFormat="1" ht="14.25" customHeight="1">
      <c r="A300" s="2169"/>
      <c r="B300" s="2169"/>
      <c r="C300" s="2169"/>
      <c r="D300" s="2169"/>
      <c r="E300" s="4759" t="s">
        <v>151</v>
      </c>
      <c r="F300" s="2169"/>
      <c r="G300" s="2169"/>
      <c r="H300" s="2169"/>
      <c r="I300" s="2169"/>
      <c r="J300" s="2169"/>
      <c r="K300" s="2169"/>
      <c r="L300" s="2170"/>
      <c r="M300" s="2171"/>
      <c r="N300" s="2171"/>
      <c r="O300" s="1978"/>
      <c r="P300" s="2172"/>
      <c r="Q300" s="2173"/>
      <c r="R300" s="2172"/>
      <c r="S300" s="2174"/>
      <c r="T300" s="2175" t="s">
        <v>317</v>
      </c>
      <c r="U300" s="2176"/>
      <c r="V300" s="2176"/>
      <c r="W300" s="2176"/>
      <c r="X300" s="2176"/>
      <c r="Y300" s="2176"/>
      <c r="Z300" s="2176"/>
      <c r="AA300" s="2176"/>
      <c r="AB300" s="2176"/>
      <c r="AC300" s="2176"/>
      <c r="AD300" s="2176"/>
      <c r="AE300" s="2176"/>
      <c r="AF300" s="2176"/>
      <c r="AG300" s="2176"/>
      <c r="AH300" s="2176"/>
      <c r="AI300" s="2176"/>
      <c r="AJ300" s="2176"/>
      <c r="AK300" s="2176"/>
      <c r="AL300" s="1978"/>
      <c r="AM300" s="1979"/>
      <c r="AN300" s="1979" t="str">
        <f t="shared" si="5"/>
        <v>Добавить территорию для дифференциации</v>
      </c>
      <c r="AO300" s="1979"/>
      <c r="AP300" s="1979"/>
    </row>
    <row r="301" spans="1:42" s="3122" customFormat="1" ht="23.25" customHeight="1">
      <c r="A301" s="1967" t="s">
        <v>364</v>
      </c>
      <c r="B301" s="1967"/>
      <c r="C301" s="1967"/>
      <c r="D301" s="1967"/>
      <c r="E301" s="4759" t="s">
        <v>162</v>
      </c>
      <c r="F301" s="1967"/>
      <c r="G301" s="1967"/>
      <c r="H301" s="1967"/>
      <c r="I301" s="1967"/>
      <c r="J301" s="1967"/>
      <c r="K301" s="1967"/>
      <c r="L301" s="1968"/>
      <c r="M301" s="2039"/>
      <c r="N301" s="2039"/>
      <c r="O301" s="2039"/>
      <c r="P301" s="2040"/>
      <c r="Q301" s="2041"/>
      <c r="R301" s="2042"/>
      <c r="S301" s="1972" t="str">
        <f>INDEX(PT_DIFFERENTIATION_NUM_NTAR,MATCH(A301,PT_DIFFERENTIATION_NTAR_ID,0))</f>
        <v>11</v>
      </c>
      <c r="T301" s="2043" t="s">
        <v>185</v>
      </c>
      <c r="U301" s="1974"/>
      <c r="V301" s="4745"/>
      <c r="W301" s="4746"/>
      <c r="X301" s="4746"/>
      <c r="Y301" s="4746"/>
      <c r="Z301" s="4746"/>
      <c r="AA301" s="4746"/>
      <c r="AB301" s="4747"/>
      <c r="AC301" s="4745" t="str">
        <f>INDEX(PT_DIFFERENTIATION_NTAR,MATCH(A301,PT_DIFFERENTIATION_NTAR_ID,0))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AD301" s="4746"/>
      <c r="AE301" s="4746"/>
      <c r="AF301" s="4746"/>
      <c r="AG301" s="4746"/>
      <c r="AH301" s="4746"/>
      <c r="AI301" s="4746"/>
      <c r="AJ301" s="4747"/>
      <c r="AK301"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01" s="1978"/>
      <c r="AM301" s="1979"/>
      <c r="AN301" s="1979" t="str">
        <f t="shared" si="5"/>
        <v>Наименование тарифа</v>
      </c>
      <c r="AO301" s="1979"/>
      <c r="AP301" s="1979"/>
    </row>
    <row r="302" spans="1:42" s="3123" customFormat="1" ht="23.25" customHeight="1">
      <c r="A302" s="1967"/>
      <c r="B302" s="1967" t="s">
        <v>365</v>
      </c>
      <c r="C302" s="1967"/>
      <c r="D302" s="1967"/>
      <c r="E302" s="4760" t="s">
        <v>157</v>
      </c>
      <c r="F302" s="4759">
        <v>1</v>
      </c>
      <c r="G302" s="1967"/>
      <c r="H302" s="1967"/>
      <c r="I302" s="1967"/>
      <c r="J302" s="1967"/>
      <c r="K302" s="1967"/>
      <c r="L302" s="1968"/>
      <c r="M302" s="2039"/>
      <c r="N302" s="2039"/>
      <c r="O302" s="2039"/>
      <c r="P302" s="2045"/>
      <c r="Q302" s="2046"/>
      <c r="R302" s="2047"/>
      <c r="S302" s="1972" t="str">
        <f>INDEX(PT_DIFFERENTIATION_NUM_TER,MATCH(B302,PT_DIFFERENTIATION_TER_ID,0))</f>
        <v>11.1</v>
      </c>
      <c r="T302" s="2048" t="s">
        <v>538</v>
      </c>
      <c r="U302" s="1974"/>
      <c r="V302" s="4745"/>
      <c r="W302" s="4746"/>
      <c r="X302" s="4746"/>
      <c r="Y302" s="4746"/>
      <c r="Z302" s="4746"/>
      <c r="AA302" s="4746"/>
      <c r="AB302" s="4747"/>
      <c r="AC302" s="4745" t="str">
        <f>INDEX(PT_DIFFERENTIATION_TER,MATCH(B302,PT_DIFFERENTIATION_TER_ID,0))</f>
        <v>Территория 7</v>
      </c>
      <c r="AD302" s="4746"/>
      <c r="AE302" s="4746"/>
      <c r="AF302" s="4746"/>
      <c r="AG302" s="4746"/>
      <c r="AH302" s="4746"/>
      <c r="AI302" s="4746"/>
      <c r="AJ302" s="4747"/>
      <c r="AK302" s="2013" t="s">
        <v>539</v>
      </c>
      <c r="AL302" s="1978"/>
      <c r="AM302" s="1979"/>
      <c r="AN302" s="1979" t="str">
        <f t="shared" si="5"/>
        <v>Территория действия тарифа</v>
      </c>
      <c r="AO302" s="1979"/>
      <c r="AP302" s="1979"/>
    </row>
    <row r="303" spans="1:42" s="3124" customFormat="1" ht="23.25" customHeight="1">
      <c r="A303" s="1967"/>
      <c r="B303" s="1967"/>
      <c r="C303" s="1967" t="s">
        <v>366</v>
      </c>
      <c r="D303" s="1967"/>
      <c r="E303" s="4760" t="s">
        <v>157</v>
      </c>
      <c r="F303" s="4760"/>
      <c r="G303" s="4759">
        <v>1</v>
      </c>
      <c r="H303" s="1967"/>
      <c r="I303" s="1967"/>
      <c r="J303" s="1967"/>
      <c r="K303" s="1967"/>
      <c r="L303" s="1968"/>
      <c r="M303" s="2039"/>
      <c r="N303" s="2039"/>
      <c r="O303" s="2039"/>
      <c r="P303" s="2050"/>
      <c r="Q303" s="2046"/>
      <c r="R303" s="2047"/>
      <c r="S303" s="1972" t="str">
        <f>INDEX(PT_DIFFERENTIATION_NUM_CS,MATCH(C303,PT_DIFFERENTIATION_CS_ID,0))</f>
        <v>11.1.1</v>
      </c>
      <c r="T303" s="2051" t="s">
        <v>652</v>
      </c>
      <c r="U303" s="1974"/>
      <c r="V303" s="4745"/>
      <c r="W303" s="4746"/>
      <c r="X303" s="4746"/>
      <c r="Y303" s="4746"/>
      <c r="Z303" s="4746"/>
      <c r="AA303" s="4746"/>
      <c r="AB303" s="4747"/>
      <c r="AC303" s="4745" t="str">
        <f>INDEX(PT_DIFFERENTIATION_CS,MATCH(C303,PT_DIFFERENTIATION_CS_ID,0))</f>
        <v>без дифференциации</v>
      </c>
      <c r="AD303" s="4746"/>
      <c r="AE303" s="4746"/>
      <c r="AF303" s="4746"/>
      <c r="AG303" s="4746"/>
      <c r="AH303" s="4746"/>
      <c r="AI303" s="4746"/>
      <c r="AJ303" s="4747"/>
      <c r="AK303" s="2013" t="s">
        <v>653</v>
      </c>
      <c r="AL303" s="1978"/>
      <c r="AM303" s="1979"/>
      <c r="AN303" s="1979" t="str">
        <f t="shared" si="5"/>
        <v>Наименование централизованной системы водоотведения</v>
      </c>
      <c r="AO303" s="1979"/>
      <c r="AP303" s="1979"/>
    </row>
    <row r="304" spans="1:42" s="3125" customFormat="1" ht="23.25" customHeight="1">
      <c r="A304" s="1967"/>
      <c r="B304" s="1967"/>
      <c r="C304" s="1967"/>
      <c r="D304" s="1967"/>
      <c r="E304" s="4760" t="s">
        <v>157</v>
      </c>
      <c r="F304" s="4760"/>
      <c r="G304" s="4760"/>
      <c r="H304" s="4760"/>
      <c r="I304" s="4757" t="str">
        <f>S303&amp;".1"</f>
        <v>11.1.1.1</v>
      </c>
      <c r="J304" s="1967"/>
      <c r="K304" s="1967"/>
      <c r="L304" s="1968"/>
      <c r="M304" s="1969"/>
      <c r="N304" s="1969"/>
      <c r="O304" s="1969"/>
      <c r="P304" s="4758">
        <v>1</v>
      </c>
      <c r="Q304" s="1970"/>
      <c r="R304" s="1994"/>
      <c r="S304" s="1972" t="str">
        <f>$I304</f>
        <v>11.1.1.1</v>
      </c>
      <c r="T304" s="2053" t="s">
        <v>621</v>
      </c>
      <c r="U304" s="1974"/>
      <c r="V304" s="4818"/>
      <c r="W304" s="4819"/>
      <c r="X304" s="4819"/>
      <c r="Y304" s="4819"/>
      <c r="Z304" s="4819"/>
      <c r="AA304" s="4819"/>
      <c r="AB304" s="4820"/>
      <c r="AC304" s="4821"/>
      <c r="AD304" s="4822"/>
      <c r="AE304" s="4822"/>
      <c r="AF304" s="4822"/>
      <c r="AG304" s="4822"/>
      <c r="AH304" s="4822"/>
      <c r="AI304" s="4822"/>
      <c r="AJ304" s="4823"/>
      <c r="AK304" s="2013" t="s">
        <v>622</v>
      </c>
      <c r="AL304" s="1978"/>
      <c r="AM304" s="1979"/>
      <c r="AN304" s="1979" t="str">
        <f t="shared" si="5"/>
        <v>Наименование признака дифференциации</v>
      </c>
      <c r="AO304" s="1979"/>
      <c r="AP304" s="1979"/>
    </row>
    <row r="305" spans="1:42" s="3126" customFormat="1" ht="23.25" customHeight="1">
      <c r="A305" s="1967"/>
      <c r="B305" s="1967"/>
      <c r="C305" s="1967"/>
      <c r="D305" s="1967"/>
      <c r="E305" s="4760" t="s">
        <v>157</v>
      </c>
      <c r="F305" s="4760"/>
      <c r="G305" s="4760"/>
      <c r="H305" s="4760"/>
      <c r="I305" s="4780"/>
      <c r="J305" s="4757" t="str">
        <f>I304&amp;".1"</f>
        <v>11.1.1.1.1</v>
      </c>
      <c r="K305" s="1967"/>
      <c r="L305" s="1968" t="s">
        <v>547</v>
      </c>
      <c r="M305" s="1969"/>
      <c r="N305" s="1969"/>
      <c r="O305" s="1969"/>
      <c r="P305" s="4758"/>
      <c r="Q305" s="4758">
        <v>1</v>
      </c>
      <c r="R305" s="1981"/>
      <c r="S305" s="1972" t="str">
        <f>$J305</f>
        <v>11.1.1.1.1</v>
      </c>
      <c r="T305" s="1987" t="s">
        <v>548</v>
      </c>
      <c r="U305" s="1974"/>
      <c r="V305" s="4748"/>
      <c r="W305" s="4749"/>
      <c r="X305" s="4749"/>
      <c r="Y305" s="4749"/>
      <c r="Z305" s="4749"/>
      <c r="AA305" s="4749"/>
      <c r="AB305" s="4750"/>
      <c r="AC305" s="4748" t="s">
        <v>657</v>
      </c>
      <c r="AD305" s="4749"/>
      <c r="AE305" s="4749"/>
      <c r="AF305" s="4749"/>
      <c r="AG305" s="4749"/>
      <c r="AH305" s="4749"/>
      <c r="AI305" s="4749"/>
      <c r="AJ305" s="4750"/>
      <c r="AK305" s="1988" t="s">
        <v>623</v>
      </c>
      <c r="AL305" s="1978"/>
      <c r="AM305" s="1979"/>
      <c r="AN305" s="1979" t="str">
        <f t="shared" si="5"/>
        <v>Группа потребителей</v>
      </c>
      <c r="AO305" s="1979"/>
      <c r="AP305" s="1979"/>
    </row>
    <row r="306" spans="1:42" s="3127" customFormat="1" ht="23.25" customHeight="1">
      <c r="A306" s="1967"/>
      <c r="B306" s="1967"/>
      <c r="C306" s="1967"/>
      <c r="D306" s="1967"/>
      <c r="E306" s="4760" t="s">
        <v>157</v>
      </c>
      <c r="F306" s="4760"/>
      <c r="G306" s="4760"/>
      <c r="H306" s="4760"/>
      <c r="I306" s="4780"/>
      <c r="J306" s="4780"/>
      <c r="K306" s="4757" t="str">
        <f>J305&amp;".1"</f>
        <v>11.1.1.1.1.1</v>
      </c>
      <c r="L306" s="1968"/>
      <c r="M306" s="1969"/>
      <c r="N306" s="1969"/>
      <c r="O306" s="1969"/>
      <c r="P306" s="4758"/>
      <c r="Q306" s="4758"/>
      <c r="R306" s="1981">
        <v>1</v>
      </c>
      <c r="S306" s="1972" t="str">
        <f>$K306</f>
        <v>11.1.1.1.1.1</v>
      </c>
      <c r="T306" s="1973" t="s">
        <v>658</v>
      </c>
      <c r="U306" s="1974"/>
      <c r="V306" s="1975"/>
      <c r="W306" s="1975"/>
      <c r="X306" s="1976"/>
      <c r="Y306" s="4762"/>
      <c r="Z306" s="4608" t="s">
        <v>65</v>
      </c>
      <c r="AA306" s="4762"/>
      <c r="AB306" s="4608" t="s">
        <v>65</v>
      </c>
      <c r="AC306" s="1975">
        <v>24.42</v>
      </c>
      <c r="AD306" s="1975"/>
      <c r="AE306" s="1976"/>
      <c r="AF306" s="4762">
        <v>45292</v>
      </c>
      <c r="AG306" s="4608" t="s">
        <v>65</v>
      </c>
      <c r="AH306" s="4781">
        <v>45473</v>
      </c>
      <c r="AI306" s="4608" t="s">
        <v>65</v>
      </c>
      <c r="AJ306" s="1977"/>
      <c r="AK30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6" s="1978" t="e">
        <f ca="1">STRCHECKDATE(V307:AJ307)</f>
        <v>#NAME?</v>
      </c>
      <c r="AM306" s="1979"/>
      <c r="AN306" s="1979" t="str">
        <f t="shared" si="5"/>
        <v>Население (с учетом НДС)</v>
      </c>
      <c r="AO306" s="1979"/>
      <c r="AP306" s="1979"/>
    </row>
    <row r="307" spans="1:42" s="3128" customFormat="1" ht="14.25" customHeight="1">
      <c r="A307" s="1967"/>
      <c r="B307" s="1967"/>
      <c r="C307" s="1967"/>
      <c r="D307" s="1967"/>
      <c r="E307" s="4760" t="s">
        <v>157</v>
      </c>
      <c r="F307" s="4760"/>
      <c r="G307" s="4760"/>
      <c r="H307" s="4760"/>
      <c r="I307" s="4780"/>
      <c r="J307" s="4780"/>
      <c r="K307" s="4757"/>
      <c r="L307" s="1968"/>
      <c r="M307" s="1969"/>
      <c r="N307" s="1969"/>
      <c r="O307" s="1969"/>
      <c r="P307" s="4758"/>
      <c r="Q307" s="4758"/>
      <c r="R307" s="1981"/>
      <c r="S307" s="1982"/>
      <c r="T307" s="1974"/>
      <c r="U307" s="1974"/>
      <c r="V307" s="1983"/>
      <c r="W307" s="1983"/>
      <c r="X307" s="1984" t="str">
        <f>Y306&amp;"-"&amp;AA306</f>
        <v>-</v>
      </c>
      <c r="Y307" s="4763"/>
      <c r="Z307" s="4608"/>
      <c r="AA307" s="4763"/>
      <c r="AB307" s="4608"/>
      <c r="AC307" s="1983"/>
      <c r="AD307" s="1983"/>
      <c r="AE307" s="1984" t="str">
        <f>AF306&amp;"-"&amp;AH306</f>
        <v>45292-45473</v>
      </c>
      <c r="AF307" s="4763"/>
      <c r="AG307" s="4608"/>
      <c r="AH307" s="4782"/>
      <c r="AI307" s="4608"/>
      <c r="AJ307" s="1985"/>
      <c r="AK307" s="4817"/>
      <c r="AL307" s="1978"/>
      <c r="AM307" s="1979"/>
      <c r="AN307" s="1979" t="str">
        <f t="shared" si="5"/>
        <v/>
      </c>
      <c r="AO307" s="1979"/>
      <c r="AP307" s="1979"/>
    </row>
    <row r="308" spans="1:42" s="3129" customFormat="1" ht="23.25" customHeight="1">
      <c r="A308" s="1967"/>
      <c r="B308" s="1967"/>
      <c r="C308" s="1967"/>
      <c r="D308" s="1967"/>
      <c r="E308" s="4760"/>
      <c r="F308" s="4760"/>
      <c r="G308" s="4760"/>
      <c r="H308" s="4760"/>
      <c r="I308" s="4780"/>
      <c r="J308" s="4780"/>
      <c r="K308" s="4757" t="str">
        <f>J305&amp;".2"</f>
        <v>11.1.1.1.1.2</v>
      </c>
      <c r="L308" s="1968"/>
      <c r="M308" s="1969"/>
      <c r="N308" s="1969"/>
      <c r="O308" s="1969"/>
      <c r="P308" s="4758"/>
      <c r="Q308" s="4758"/>
      <c r="R308" s="1971" t="s">
        <v>102</v>
      </c>
      <c r="S308" s="1972" t="str">
        <f>$K308</f>
        <v>11.1.1.1.1.2</v>
      </c>
      <c r="T308" s="1973" t="s">
        <v>658</v>
      </c>
      <c r="U308" s="1974"/>
      <c r="V308" s="1975"/>
      <c r="W308" s="1975"/>
      <c r="X308" s="1976"/>
      <c r="Y308" s="4762"/>
      <c r="Z308" s="4608" t="s">
        <v>65</v>
      </c>
      <c r="AA308" s="4762"/>
      <c r="AB308" s="4608" t="s">
        <v>65</v>
      </c>
      <c r="AC308" s="1975">
        <v>26.61</v>
      </c>
      <c r="AD308" s="1975"/>
      <c r="AE308" s="1976"/>
      <c r="AF308" s="4762">
        <v>45474</v>
      </c>
      <c r="AG308" s="4608" t="s">
        <v>65</v>
      </c>
      <c r="AH308" s="4781">
        <v>45657</v>
      </c>
      <c r="AI308" s="4608" t="s">
        <v>65</v>
      </c>
      <c r="AJ308" s="1977"/>
      <c r="AK30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8" s="1978" t="e">
        <f ca="1">STRCHECKDATE(V309:AJ309)</f>
        <v>#NAME?</v>
      </c>
      <c r="AM308" s="1979"/>
      <c r="AN308" s="1979" t="str">
        <f t="shared" si="5"/>
        <v>Население (с учетом НДС)</v>
      </c>
      <c r="AO308" s="1979"/>
      <c r="AP308" s="1979"/>
    </row>
    <row r="309" spans="1:42" s="3130" customFormat="1" ht="14.25" customHeight="1">
      <c r="A309" s="1967"/>
      <c r="B309" s="1967"/>
      <c r="C309" s="1967"/>
      <c r="D309" s="1967"/>
      <c r="E309" s="4760"/>
      <c r="F309" s="4760"/>
      <c r="G309" s="4760"/>
      <c r="H309" s="4760"/>
      <c r="I309" s="4780"/>
      <c r="J309" s="4780"/>
      <c r="K309" s="4757" t="str">
        <f>J305&amp;".1"</f>
        <v>11.1.1.1.1.1</v>
      </c>
      <c r="L309" s="1968"/>
      <c r="M309" s="1969"/>
      <c r="N309" s="1969"/>
      <c r="O309" s="1969"/>
      <c r="P309" s="4758"/>
      <c r="Q309" s="4758"/>
      <c r="R309" s="1981"/>
      <c r="S309" s="1982"/>
      <c r="T309" s="1974"/>
      <c r="U309" s="1974"/>
      <c r="V309" s="1983"/>
      <c r="W309" s="1983"/>
      <c r="X309" s="1984" t="str">
        <f>Y308&amp;"-"&amp;AA308</f>
        <v>-</v>
      </c>
      <c r="Y309" s="4763"/>
      <c r="Z309" s="4608"/>
      <c r="AA309" s="4763"/>
      <c r="AB309" s="4608"/>
      <c r="AC309" s="1983"/>
      <c r="AD309" s="1983"/>
      <c r="AE309" s="1984" t="str">
        <f>AF308&amp;"-"&amp;AH308</f>
        <v>45474-45657</v>
      </c>
      <c r="AF309" s="4763"/>
      <c r="AG309" s="4608"/>
      <c r="AH309" s="4782"/>
      <c r="AI309" s="4608"/>
      <c r="AJ309" s="1985"/>
      <c r="AK309" s="4817"/>
      <c r="AL309" s="1978"/>
      <c r="AM309" s="1979"/>
      <c r="AN309" s="1979" t="str">
        <f t="shared" si="5"/>
        <v/>
      </c>
      <c r="AO309" s="1979"/>
      <c r="AP309" s="1979"/>
    </row>
    <row r="310" spans="1:42" s="3131" customFormat="1" ht="21" customHeight="1">
      <c r="A310" s="1967"/>
      <c r="B310" s="1967"/>
      <c r="C310" s="1967"/>
      <c r="D310" s="1967"/>
      <c r="E310" s="4760" t="s">
        <v>157</v>
      </c>
      <c r="F310" s="4760"/>
      <c r="G310" s="4760"/>
      <c r="H310" s="4760"/>
      <c r="I310" s="4780"/>
      <c r="J310" s="4757"/>
      <c r="K310" s="1967"/>
      <c r="L310" s="1968"/>
      <c r="M310" s="1969"/>
      <c r="N310" s="1969"/>
      <c r="O310" s="1969"/>
      <c r="P310" s="4758"/>
      <c r="Q310" s="4758"/>
      <c r="R310" s="1994"/>
      <c r="S310" s="3132"/>
      <c r="T310" s="3133" t="s">
        <v>624</v>
      </c>
      <c r="U310" s="3134"/>
      <c r="V310" s="3135"/>
      <c r="W310" s="3136"/>
      <c r="X310" s="3137"/>
      <c r="Y310" s="3138"/>
      <c r="Z310" s="3139"/>
      <c r="AA310" s="3140"/>
      <c r="AB310" s="3141"/>
      <c r="AC310" s="3142"/>
      <c r="AD310" s="3143"/>
      <c r="AE310" s="3144"/>
      <c r="AF310" s="3145"/>
      <c r="AG310" s="3146"/>
      <c r="AH310" s="3147"/>
      <c r="AI310" s="3148"/>
      <c r="AJ310" s="3149"/>
      <c r="AK310" s="2013" t="s">
        <v>625</v>
      </c>
      <c r="AL310" s="1978"/>
      <c r="AM310" s="1979"/>
      <c r="AN310" s="1979" t="str">
        <f t="shared" si="5"/>
        <v>Добавить значение признака дифференциации</v>
      </c>
      <c r="AO310" s="1979"/>
      <c r="AP310" s="1979"/>
    </row>
    <row r="311" spans="1:42" s="3150" customFormat="1" ht="23.25" customHeight="1">
      <c r="A311" s="1967"/>
      <c r="B311" s="1967"/>
      <c r="C311" s="1967"/>
      <c r="D311" s="1967"/>
      <c r="E311" s="4760"/>
      <c r="F311" s="4760"/>
      <c r="G311" s="4760"/>
      <c r="H311" s="4760"/>
      <c r="I311" s="4780"/>
      <c r="J311" s="4757" t="str">
        <f>I304&amp;".2"</f>
        <v>11.1.1.1.2</v>
      </c>
      <c r="K311" s="1967"/>
      <c r="L311" s="1968" t="s">
        <v>547</v>
      </c>
      <c r="M311" s="1969"/>
      <c r="N311" s="1969"/>
      <c r="O311" s="1969"/>
      <c r="P311" s="4758"/>
      <c r="Q311" s="4833" t="s">
        <v>102</v>
      </c>
      <c r="R311" s="1981"/>
      <c r="S311" s="1972" t="str">
        <f>$J311</f>
        <v>11.1.1.1.2</v>
      </c>
      <c r="T311" s="1987" t="s">
        <v>548</v>
      </c>
      <c r="U311" s="1974"/>
      <c r="V311" s="4748"/>
      <c r="W311" s="4749"/>
      <c r="X311" s="4749"/>
      <c r="Y311" s="4749"/>
      <c r="Z311" s="4749"/>
      <c r="AA311" s="4749"/>
      <c r="AB311" s="4750"/>
      <c r="AC311" s="4748" t="s">
        <v>659</v>
      </c>
      <c r="AD311" s="4749"/>
      <c r="AE311" s="4749"/>
      <c r="AF311" s="4749"/>
      <c r="AG311" s="4749"/>
      <c r="AH311" s="4749"/>
      <c r="AI311" s="4749"/>
      <c r="AJ311" s="4750"/>
      <c r="AK311" s="1988" t="s">
        <v>623</v>
      </c>
      <c r="AL311" s="1978"/>
      <c r="AM311" s="1979"/>
      <c r="AN311" s="1979" t="str">
        <f t="shared" si="5"/>
        <v>Группа потребителей</v>
      </c>
      <c r="AO311" s="1979"/>
      <c r="AP311" s="1979"/>
    </row>
    <row r="312" spans="1:42" s="3151" customFormat="1" ht="23.25" customHeight="1">
      <c r="A312" s="1967"/>
      <c r="B312" s="1967"/>
      <c r="C312" s="1967"/>
      <c r="D312" s="1967"/>
      <c r="E312" s="4760"/>
      <c r="F312" s="4760"/>
      <c r="G312" s="4760"/>
      <c r="H312" s="4760"/>
      <c r="I312" s="4780"/>
      <c r="J312" s="4780" t="str">
        <f>I304&amp;".1"</f>
        <v>11.1.1.1.1</v>
      </c>
      <c r="K312" s="4757" t="str">
        <f>J311&amp;".1"</f>
        <v>11.1.1.1.2.1</v>
      </c>
      <c r="L312" s="1968"/>
      <c r="M312" s="1969"/>
      <c r="N312" s="1969"/>
      <c r="O312" s="1969"/>
      <c r="P312" s="4758"/>
      <c r="Q312" s="4758"/>
      <c r="R312" s="1981">
        <v>1</v>
      </c>
      <c r="S312" s="1972" t="str">
        <f>$K312</f>
        <v>11.1.1.1.2.1</v>
      </c>
      <c r="T312" s="1973" t="s">
        <v>660</v>
      </c>
      <c r="U312" s="1974"/>
      <c r="V312" s="1975"/>
      <c r="W312" s="1975"/>
      <c r="X312" s="1976"/>
      <c r="Y312" s="4762"/>
      <c r="Z312" s="4608" t="s">
        <v>65</v>
      </c>
      <c r="AA312" s="4762"/>
      <c r="AB312" s="4608" t="s">
        <v>65</v>
      </c>
      <c r="AC312" s="1975">
        <v>20.350000000000001</v>
      </c>
      <c r="AD312" s="1975"/>
      <c r="AE312" s="1976"/>
      <c r="AF312" s="4762">
        <v>45292</v>
      </c>
      <c r="AG312" s="4608" t="s">
        <v>65</v>
      </c>
      <c r="AH312" s="4781">
        <v>45473</v>
      </c>
      <c r="AI312" s="4608" t="s">
        <v>65</v>
      </c>
      <c r="AJ312" s="1977"/>
      <c r="AK31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2" s="1978" t="e">
        <f ca="1">STRCHECKDATE(V313:AJ313)</f>
        <v>#NAME?</v>
      </c>
      <c r="AM312" s="1979"/>
      <c r="AN312" s="1979" t="str">
        <f t="shared" si="5"/>
        <v>Потребители, кроме населения (без учета НДС)</v>
      </c>
      <c r="AO312" s="1979"/>
      <c r="AP312" s="1979"/>
    </row>
    <row r="313" spans="1:42" s="3152" customFormat="1" ht="14.25" customHeight="1">
      <c r="A313" s="1967"/>
      <c r="B313" s="1967"/>
      <c r="C313" s="1967"/>
      <c r="D313" s="1967"/>
      <c r="E313" s="4760"/>
      <c r="F313" s="4760"/>
      <c r="G313" s="4760"/>
      <c r="H313" s="4760"/>
      <c r="I313" s="4780"/>
      <c r="J313" s="4780" t="str">
        <f>I304&amp;".1"</f>
        <v>11.1.1.1.1</v>
      </c>
      <c r="K313" s="4757"/>
      <c r="L313" s="1968"/>
      <c r="M313" s="1969"/>
      <c r="N313" s="1969"/>
      <c r="O313" s="1969"/>
      <c r="P313" s="4758"/>
      <c r="Q313" s="4758"/>
      <c r="R313" s="1981"/>
      <c r="S313" s="1982"/>
      <c r="T313" s="1974"/>
      <c r="U313" s="1974"/>
      <c r="V313" s="1983"/>
      <c r="W313" s="1983"/>
      <c r="X313" s="1984" t="str">
        <f>Y312&amp;"-"&amp;AA312</f>
        <v>-</v>
      </c>
      <c r="Y313" s="4763"/>
      <c r="Z313" s="4608"/>
      <c r="AA313" s="4763"/>
      <c r="AB313" s="4608"/>
      <c r="AC313" s="1983"/>
      <c r="AD313" s="1983"/>
      <c r="AE313" s="1984" t="str">
        <f>AF312&amp;"-"&amp;AH312</f>
        <v>45292-45473</v>
      </c>
      <c r="AF313" s="4763"/>
      <c r="AG313" s="4608"/>
      <c r="AH313" s="4782"/>
      <c r="AI313" s="4608"/>
      <c r="AJ313" s="1985"/>
      <c r="AK313" s="4817"/>
      <c r="AL313" s="1978"/>
      <c r="AM313" s="1979"/>
      <c r="AN313" s="1979" t="str">
        <f t="shared" si="5"/>
        <v/>
      </c>
      <c r="AO313" s="1979"/>
      <c r="AP313" s="1979"/>
    </row>
    <row r="314" spans="1:42" s="3153" customFormat="1" ht="23.25" customHeight="1">
      <c r="A314" s="1967"/>
      <c r="B314" s="1967"/>
      <c r="C314" s="1967"/>
      <c r="D314" s="1967"/>
      <c r="E314" s="4760"/>
      <c r="F314" s="4760"/>
      <c r="G314" s="4760"/>
      <c r="H314" s="4760"/>
      <c r="I314" s="4780"/>
      <c r="J314" s="4780"/>
      <c r="K314" s="4757" t="str">
        <f>J311&amp;".2"</f>
        <v>11.1.1.1.2.2</v>
      </c>
      <c r="L314" s="1968"/>
      <c r="M314" s="1969"/>
      <c r="N314" s="1969"/>
      <c r="O314" s="1969"/>
      <c r="P314" s="4758"/>
      <c r="Q314" s="4758"/>
      <c r="R314" s="1971" t="s">
        <v>102</v>
      </c>
      <c r="S314" s="1972" t="str">
        <f>$K314</f>
        <v>11.1.1.1.2.2</v>
      </c>
      <c r="T314" s="1973" t="s">
        <v>660</v>
      </c>
      <c r="U314" s="1974"/>
      <c r="V314" s="1975"/>
      <c r="W314" s="1975"/>
      <c r="X314" s="1976"/>
      <c r="Y314" s="4762"/>
      <c r="Z314" s="4608" t="s">
        <v>65</v>
      </c>
      <c r="AA314" s="4762"/>
      <c r="AB314" s="4608" t="s">
        <v>65</v>
      </c>
      <c r="AC314" s="1975">
        <v>54.64</v>
      </c>
      <c r="AD314" s="1975"/>
      <c r="AE314" s="1976"/>
      <c r="AF314" s="4762">
        <v>45474</v>
      </c>
      <c r="AG314" s="4608" t="s">
        <v>65</v>
      </c>
      <c r="AH314" s="4781">
        <v>45657</v>
      </c>
      <c r="AI314" s="4608" t="s">
        <v>65</v>
      </c>
      <c r="AJ314" s="1977"/>
      <c r="AK31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4" s="1978" t="e">
        <f ca="1">STRCHECKDATE(V315:AJ315)</f>
        <v>#NAME?</v>
      </c>
      <c r="AM314" s="1979"/>
      <c r="AN314" s="1979" t="str">
        <f t="shared" si="5"/>
        <v>Потребители, кроме населения (без учета НДС)</v>
      </c>
      <c r="AO314" s="1979"/>
      <c r="AP314" s="1979"/>
    </row>
    <row r="315" spans="1:42" s="3154" customFormat="1" ht="14.25" customHeight="1">
      <c r="A315" s="1967"/>
      <c r="B315" s="1967"/>
      <c r="C315" s="1967"/>
      <c r="D315" s="1967"/>
      <c r="E315" s="4760"/>
      <c r="F315" s="4760"/>
      <c r="G315" s="4760"/>
      <c r="H315" s="4760"/>
      <c r="I315" s="4780"/>
      <c r="J315" s="4780"/>
      <c r="K315" s="4757" t="str">
        <f>J311&amp;".1"</f>
        <v>11.1.1.1.2.1</v>
      </c>
      <c r="L315" s="1968"/>
      <c r="M315" s="1969"/>
      <c r="N315" s="1969"/>
      <c r="O315" s="1969"/>
      <c r="P315" s="4758"/>
      <c r="Q315" s="4758"/>
      <c r="R315" s="1981"/>
      <c r="S315" s="1982"/>
      <c r="T315" s="1974"/>
      <c r="U315" s="1974"/>
      <c r="V315" s="1983"/>
      <c r="W315" s="1983"/>
      <c r="X315" s="1984" t="str">
        <f>Y314&amp;"-"&amp;AA314</f>
        <v>-</v>
      </c>
      <c r="Y315" s="4763"/>
      <c r="Z315" s="4608"/>
      <c r="AA315" s="4763"/>
      <c r="AB315" s="4608"/>
      <c r="AC315" s="1983"/>
      <c r="AD315" s="1983"/>
      <c r="AE315" s="1984" t="str">
        <f>AF314&amp;"-"&amp;AH314</f>
        <v>45474-45657</v>
      </c>
      <c r="AF315" s="4763"/>
      <c r="AG315" s="4608"/>
      <c r="AH315" s="4782"/>
      <c r="AI315" s="4608"/>
      <c r="AJ315" s="1985"/>
      <c r="AK315" s="4817"/>
      <c r="AL315" s="1978"/>
      <c r="AM315" s="1979"/>
      <c r="AN315" s="1979" t="str">
        <f t="shared" si="5"/>
        <v/>
      </c>
      <c r="AO315" s="1979"/>
      <c r="AP315" s="1979"/>
    </row>
    <row r="316" spans="1:42" s="3155" customFormat="1" ht="21" customHeight="1">
      <c r="A316" s="1967"/>
      <c r="B316" s="1967"/>
      <c r="C316" s="1967"/>
      <c r="D316" s="1967"/>
      <c r="E316" s="4760"/>
      <c r="F316" s="4760"/>
      <c r="G316" s="4760"/>
      <c r="H316" s="4760"/>
      <c r="I316" s="4780"/>
      <c r="J316" s="4757" t="str">
        <f>I304&amp;".1"</f>
        <v>11.1.1.1.1</v>
      </c>
      <c r="K316" s="1967"/>
      <c r="L316" s="1968"/>
      <c r="M316" s="1969"/>
      <c r="N316" s="1969"/>
      <c r="O316" s="1969"/>
      <c r="P316" s="4758"/>
      <c r="Q316" s="4758"/>
      <c r="R316" s="1994"/>
      <c r="S316" s="3156"/>
      <c r="T316" s="3157" t="s">
        <v>624</v>
      </c>
      <c r="U316" s="3158"/>
      <c r="V316" s="3159"/>
      <c r="W316" s="3160"/>
      <c r="X316" s="3161"/>
      <c r="Y316" s="3162"/>
      <c r="Z316" s="3163"/>
      <c r="AA316" s="3164"/>
      <c r="AB316" s="3165"/>
      <c r="AC316" s="3166"/>
      <c r="AD316" s="3167"/>
      <c r="AE316" s="3168"/>
      <c r="AF316" s="3169"/>
      <c r="AG316" s="3170"/>
      <c r="AH316" s="3171"/>
      <c r="AI316" s="3172"/>
      <c r="AJ316" s="3173"/>
      <c r="AK316" s="2013" t="s">
        <v>625</v>
      </c>
      <c r="AL316" s="1978"/>
      <c r="AM316" s="1979"/>
      <c r="AN316" s="1979" t="str">
        <f t="shared" si="5"/>
        <v>Добавить значение признака дифференциации</v>
      </c>
      <c r="AO316" s="1979"/>
      <c r="AP316" s="1979"/>
    </row>
    <row r="317" spans="1:42" s="3174" customFormat="1" ht="23.25" customHeight="1">
      <c r="A317" s="1967"/>
      <c r="B317" s="1967"/>
      <c r="C317" s="1967"/>
      <c r="D317" s="1967"/>
      <c r="E317" s="4760"/>
      <c r="F317" s="4760"/>
      <c r="G317" s="4760"/>
      <c r="H317" s="4760"/>
      <c r="I317" s="4780"/>
      <c r="J317" s="4757" t="str">
        <f>I304&amp;".3"</f>
        <v>11.1.1.1.3</v>
      </c>
      <c r="K317" s="1967"/>
      <c r="L317" s="1968" t="s">
        <v>547</v>
      </c>
      <c r="M317" s="1969"/>
      <c r="N317" s="1969"/>
      <c r="O317" s="1969"/>
      <c r="P317" s="4758"/>
      <c r="Q317" s="4833" t="s">
        <v>102</v>
      </c>
      <c r="R317" s="1981"/>
      <c r="S317" s="1972" t="str">
        <f>$J317</f>
        <v>11.1.1.1.3</v>
      </c>
      <c r="T317" s="1987" t="s">
        <v>548</v>
      </c>
      <c r="U317" s="1974"/>
      <c r="V317" s="4748"/>
      <c r="W317" s="4749"/>
      <c r="X317" s="4749"/>
      <c r="Y317" s="4749"/>
      <c r="Z317" s="4749"/>
      <c r="AA317" s="4749"/>
      <c r="AB317" s="4750"/>
      <c r="AC317" s="4748" t="s">
        <v>661</v>
      </c>
      <c r="AD317" s="4749"/>
      <c r="AE317" s="4749"/>
      <c r="AF317" s="4749"/>
      <c r="AG317" s="4749"/>
      <c r="AH317" s="4749"/>
      <c r="AI317" s="4749"/>
      <c r="AJ317" s="4750"/>
      <c r="AK317" s="1988" t="s">
        <v>623</v>
      </c>
      <c r="AL317" s="1978"/>
      <c r="AM317" s="1979"/>
      <c r="AN317" s="1979" t="str">
        <f t="shared" si="5"/>
        <v>Группа потребителей</v>
      </c>
      <c r="AO317" s="1979"/>
      <c r="AP317" s="1979"/>
    </row>
    <row r="318" spans="1:42" s="3175" customFormat="1" ht="23.25" customHeight="1">
      <c r="A318" s="1967"/>
      <c r="B318" s="1967"/>
      <c r="C318" s="1967"/>
      <c r="D318" s="1967"/>
      <c r="E318" s="4760"/>
      <c r="F318" s="4760"/>
      <c r="G318" s="4760"/>
      <c r="H318" s="4760"/>
      <c r="I318" s="4780"/>
      <c r="J318" s="4780" t="str">
        <f>I304&amp;".2"</f>
        <v>11.1.1.1.2</v>
      </c>
      <c r="K318" s="4757" t="str">
        <f>J317&amp;".1"</f>
        <v>11.1.1.1.3.1</v>
      </c>
      <c r="L318" s="1968"/>
      <c r="M318" s="1969"/>
      <c r="N318" s="1969"/>
      <c r="O318" s="1969"/>
      <c r="P318" s="4758"/>
      <c r="Q318" s="4758"/>
      <c r="R318" s="1981">
        <v>1</v>
      </c>
      <c r="S318" s="1972" t="str">
        <f>$K318</f>
        <v>11.1.1.1.3.1</v>
      </c>
      <c r="T318" s="1973" t="s">
        <v>660</v>
      </c>
      <c r="U318" s="1974"/>
      <c r="V318" s="1975"/>
      <c r="W318" s="1975"/>
      <c r="X318" s="1976"/>
      <c r="Y318" s="4762"/>
      <c r="Z318" s="4608" t="s">
        <v>65</v>
      </c>
      <c r="AA318" s="4762"/>
      <c r="AB318" s="4608" t="s">
        <v>65</v>
      </c>
      <c r="AC318" s="1975">
        <v>20.350000000000001</v>
      </c>
      <c r="AD318" s="1975"/>
      <c r="AE318" s="1976"/>
      <c r="AF318" s="4762">
        <v>45292</v>
      </c>
      <c r="AG318" s="4608" t="s">
        <v>65</v>
      </c>
      <c r="AH318" s="4781">
        <v>45473</v>
      </c>
      <c r="AI318" s="4608" t="s">
        <v>65</v>
      </c>
      <c r="AJ318" s="1977"/>
      <c r="AK31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8" s="1978" t="e">
        <f ca="1">STRCHECKDATE(V319:AJ319)</f>
        <v>#NAME?</v>
      </c>
      <c r="AM318" s="1979"/>
      <c r="AN318" s="1979" t="str">
        <f t="shared" si="5"/>
        <v>Потребители, кроме населения (без учета НДС)</v>
      </c>
      <c r="AO318" s="1979"/>
      <c r="AP318" s="1979"/>
    </row>
    <row r="319" spans="1:42" s="3176" customFormat="1" ht="14.25" customHeight="1">
      <c r="A319" s="1967"/>
      <c r="B319" s="1967"/>
      <c r="C319" s="1967"/>
      <c r="D319" s="1967"/>
      <c r="E319" s="4760"/>
      <c r="F319" s="4760"/>
      <c r="G319" s="4760"/>
      <c r="H319" s="4760"/>
      <c r="I319" s="4780"/>
      <c r="J319" s="4780" t="str">
        <f>I304&amp;".2"</f>
        <v>11.1.1.1.2</v>
      </c>
      <c r="K319" s="4757"/>
      <c r="L319" s="1968"/>
      <c r="M319" s="1969"/>
      <c r="N319" s="1969"/>
      <c r="O319" s="1969"/>
      <c r="P319" s="4758"/>
      <c r="Q319" s="4758"/>
      <c r="R319" s="1981"/>
      <c r="S319" s="1982"/>
      <c r="T319" s="1974"/>
      <c r="U319" s="1974"/>
      <c r="V319" s="1983"/>
      <c r="W319" s="1983"/>
      <c r="X319" s="1984" t="str">
        <f>Y318&amp;"-"&amp;AA318</f>
        <v>-</v>
      </c>
      <c r="Y319" s="4763"/>
      <c r="Z319" s="4608"/>
      <c r="AA319" s="4763"/>
      <c r="AB319" s="4608"/>
      <c r="AC319" s="1983"/>
      <c r="AD319" s="1983"/>
      <c r="AE319" s="1984" t="str">
        <f>AF318&amp;"-"&amp;AH318</f>
        <v>45292-45473</v>
      </c>
      <c r="AF319" s="4763"/>
      <c r="AG319" s="4608"/>
      <c r="AH319" s="4782"/>
      <c r="AI319" s="4608"/>
      <c r="AJ319" s="1985"/>
      <c r="AK319" s="4817"/>
      <c r="AL319" s="1978"/>
      <c r="AM319" s="1979"/>
      <c r="AN319" s="1979" t="str">
        <f t="shared" si="5"/>
        <v/>
      </c>
      <c r="AO319" s="1979"/>
      <c r="AP319" s="1979"/>
    </row>
    <row r="320" spans="1:42" s="3177" customFormat="1" ht="23.25" customHeight="1">
      <c r="A320" s="1967"/>
      <c r="B320" s="1967"/>
      <c r="C320" s="1967"/>
      <c r="D320" s="1967"/>
      <c r="E320" s="4760"/>
      <c r="F320" s="4760"/>
      <c r="G320" s="4760"/>
      <c r="H320" s="4760"/>
      <c r="I320" s="4780"/>
      <c r="J320" s="4780"/>
      <c r="K320" s="4757" t="str">
        <f>J317&amp;".2"</f>
        <v>11.1.1.1.3.2</v>
      </c>
      <c r="L320" s="1968"/>
      <c r="M320" s="1969"/>
      <c r="N320" s="1969"/>
      <c r="O320" s="1969"/>
      <c r="P320" s="4758"/>
      <c r="Q320" s="4758"/>
      <c r="R320" s="1971" t="s">
        <v>102</v>
      </c>
      <c r="S320" s="1972" t="str">
        <f>$K320</f>
        <v>11.1.1.1.3.2</v>
      </c>
      <c r="T320" s="1973" t="s">
        <v>660</v>
      </c>
      <c r="U320" s="1974"/>
      <c r="V320" s="1975"/>
      <c r="W320" s="1975"/>
      <c r="X320" s="1976"/>
      <c r="Y320" s="4762"/>
      <c r="Z320" s="4608" t="s">
        <v>65</v>
      </c>
      <c r="AA320" s="4762"/>
      <c r="AB320" s="4608" t="s">
        <v>65</v>
      </c>
      <c r="AC320" s="1975">
        <v>54.64</v>
      </c>
      <c r="AD320" s="1975"/>
      <c r="AE320" s="1976"/>
      <c r="AF320" s="4762">
        <v>45474</v>
      </c>
      <c r="AG320" s="4608" t="s">
        <v>65</v>
      </c>
      <c r="AH320" s="4781">
        <v>45657</v>
      </c>
      <c r="AI320" s="4608" t="s">
        <v>65</v>
      </c>
      <c r="AJ320" s="1977"/>
      <c r="AK32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20" s="1978" t="e">
        <f ca="1">STRCHECKDATE(V321:AJ321)</f>
        <v>#NAME?</v>
      </c>
      <c r="AM320" s="1979"/>
      <c r="AN320" s="1979" t="str">
        <f t="shared" si="5"/>
        <v>Потребители, кроме населения (без учета НДС)</v>
      </c>
      <c r="AO320" s="1979"/>
      <c r="AP320" s="1979"/>
    </row>
    <row r="321" spans="1:42" s="3178" customFormat="1" ht="14.25" customHeight="1">
      <c r="A321" s="1967"/>
      <c r="B321" s="1967"/>
      <c r="C321" s="1967"/>
      <c r="D321" s="1967"/>
      <c r="E321" s="4760"/>
      <c r="F321" s="4760"/>
      <c r="G321" s="4760"/>
      <c r="H321" s="4760"/>
      <c r="I321" s="4780"/>
      <c r="J321" s="4780"/>
      <c r="K321" s="4757" t="str">
        <f>J317&amp;".1"</f>
        <v>11.1.1.1.3.1</v>
      </c>
      <c r="L321" s="1968"/>
      <c r="M321" s="1969"/>
      <c r="N321" s="1969"/>
      <c r="O321" s="1969"/>
      <c r="P321" s="4758"/>
      <c r="Q321" s="4758"/>
      <c r="R321" s="1981"/>
      <c r="S321" s="1982"/>
      <c r="T321" s="1974"/>
      <c r="U321" s="1974"/>
      <c r="V321" s="1983"/>
      <c r="W321" s="1983"/>
      <c r="X321" s="1984" t="str">
        <f>Y320&amp;"-"&amp;AA320</f>
        <v>-</v>
      </c>
      <c r="Y321" s="4763"/>
      <c r="Z321" s="4608"/>
      <c r="AA321" s="4763"/>
      <c r="AB321" s="4608"/>
      <c r="AC321" s="1983"/>
      <c r="AD321" s="1983"/>
      <c r="AE321" s="1984" t="str">
        <f>AF320&amp;"-"&amp;AH320</f>
        <v>45474-45657</v>
      </c>
      <c r="AF321" s="4763"/>
      <c r="AG321" s="4608"/>
      <c r="AH321" s="4782"/>
      <c r="AI321" s="4608"/>
      <c r="AJ321" s="1985"/>
      <c r="AK321" s="4817"/>
      <c r="AL321" s="1978"/>
      <c r="AM321" s="1979"/>
      <c r="AN321" s="1979" t="str">
        <f t="shared" si="5"/>
        <v/>
      </c>
      <c r="AO321" s="1979"/>
      <c r="AP321" s="1979"/>
    </row>
    <row r="322" spans="1:42" s="3179" customFormat="1" ht="21" customHeight="1">
      <c r="A322" s="1967"/>
      <c r="B322" s="1967"/>
      <c r="C322" s="1967"/>
      <c r="D322" s="1967"/>
      <c r="E322" s="4760"/>
      <c r="F322" s="4760"/>
      <c r="G322" s="4760"/>
      <c r="H322" s="4760"/>
      <c r="I322" s="4780"/>
      <c r="J322" s="4757" t="str">
        <f>I304&amp;".2"</f>
        <v>11.1.1.1.2</v>
      </c>
      <c r="K322" s="1967"/>
      <c r="L322" s="1968"/>
      <c r="M322" s="1969"/>
      <c r="N322" s="1969"/>
      <c r="O322" s="1969"/>
      <c r="P322" s="4758"/>
      <c r="Q322" s="4758"/>
      <c r="R322" s="1994"/>
      <c r="S322" s="3180"/>
      <c r="T322" s="3181" t="s">
        <v>624</v>
      </c>
      <c r="U322" s="3182"/>
      <c r="V322" s="3183"/>
      <c r="W322" s="3184"/>
      <c r="X322" s="3185"/>
      <c r="Y322" s="3186"/>
      <c r="Z322" s="3187"/>
      <c r="AA322" s="3188"/>
      <c r="AB322" s="3189"/>
      <c r="AC322" s="3190"/>
      <c r="AD322" s="3191"/>
      <c r="AE322" s="3192"/>
      <c r="AF322" s="3193"/>
      <c r="AG322" s="3194"/>
      <c r="AH322" s="3195"/>
      <c r="AI322" s="3196"/>
      <c r="AJ322" s="3197"/>
      <c r="AK322" s="2013" t="s">
        <v>625</v>
      </c>
      <c r="AL322" s="1978"/>
      <c r="AM322" s="1979"/>
      <c r="AN322" s="1979" t="str">
        <f t="shared" si="5"/>
        <v>Добавить значение признака дифференциации</v>
      </c>
      <c r="AO322" s="1979"/>
      <c r="AP322" s="1979"/>
    </row>
    <row r="323" spans="1:42" s="3198" customFormat="1" ht="21" customHeight="1">
      <c r="A323" s="1967"/>
      <c r="B323" s="1967"/>
      <c r="C323" s="1967"/>
      <c r="D323" s="1967"/>
      <c r="E323" s="4760" t="s">
        <v>157</v>
      </c>
      <c r="F323" s="4760"/>
      <c r="G323" s="4760"/>
      <c r="H323" s="4760"/>
      <c r="I323" s="4757"/>
      <c r="J323" s="1967"/>
      <c r="K323" s="1967"/>
      <c r="L323" s="1968"/>
      <c r="M323" s="1969"/>
      <c r="N323" s="1969"/>
      <c r="O323" s="1969"/>
      <c r="P323" s="4758"/>
      <c r="Q323" s="1970"/>
      <c r="R323" s="1994"/>
      <c r="S323" s="3199"/>
      <c r="T323" s="3200" t="s">
        <v>553</v>
      </c>
      <c r="U323" s="3201"/>
      <c r="V323" s="3202"/>
      <c r="W323" s="3203"/>
      <c r="X323" s="3204"/>
      <c r="Y323" s="3205"/>
      <c r="Z323" s="3206"/>
      <c r="AA323" s="3207"/>
      <c r="AB323" s="3208"/>
      <c r="AC323" s="3209"/>
      <c r="AD323" s="3210"/>
      <c r="AE323" s="3211"/>
      <c r="AF323" s="3212"/>
      <c r="AG323" s="3213"/>
      <c r="AH323" s="3214"/>
      <c r="AI323" s="3215"/>
      <c r="AJ323" s="3216"/>
      <c r="AK323" s="3217"/>
      <c r="AL323" s="1978"/>
      <c r="AM323" s="1979"/>
      <c r="AN323" s="1979" t="str">
        <f t="shared" si="5"/>
        <v>Добавить группу потребителей</v>
      </c>
      <c r="AO323" s="1979"/>
      <c r="AP323" s="1979"/>
    </row>
    <row r="324" spans="1:42" s="3218" customFormat="1" ht="21" customHeight="1">
      <c r="A324" s="1967"/>
      <c r="B324" s="1967"/>
      <c r="C324" s="1967"/>
      <c r="D324" s="1967"/>
      <c r="E324" s="4760" t="s">
        <v>157</v>
      </c>
      <c r="F324" s="4760"/>
      <c r="G324" s="4760"/>
      <c r="H324" s="4759"/>
      <c r="I324" s="1967"/>
      <c r="J324" s="1967"/>
      <c r="K324" s="1967"/>
      <c r="L324" s="1968"/>
      <c r="M324" s="2039"/>
      <c r="N324" s="2039"/>
      <c r="O324" s="2147"/>
      <c r="P324" s="2041"/>
      <c r="Q324" s="2148"/>
      <c r="R324" s="2042"/>
      <c r="S324" s="3219"/>
      <c r="T324" s="3220" t="s">
        <v>626</v>
      </c>
      <c r="U324" s="3221"/>
      <c r="V324" s="3222"/>
      <c r="W324" s="3223"/>
      <c r="X324" s="3224"/>
      <c r="Y324" s="3225"/>
      <c r="Z324" s="3226"/>
      <c r="AA324" s="3227"/>
      <c r="AB324" s="3228"/>
      <c r="AC324" s="3229"/>
      <c r="AD324" s="3230"/>
      <c r="AE324" s="3231"/>
      <c r="AF324" s="3232"/>
      <c r="AG324" s="3233"/>
      <c r="AH324" s="3234"/>
      <c r="AI324" s="3235"/>
      <c r="AJ324" s="3236"/>
      <c r="AK324" s="3237"/>
      <c r="AL324" s="1978"/>
      <c r="AM324" s="1979"/>
      <c r="AN324" s="1979" t="str">
        <f t="shared" si="5"/>
        <v>Добавить наименование признака дифференциации</v>
      </c>
      <c r="AO324" s="1979"/>
      <c r="AP324" s="1979"/>
    </row>
    <row r="325" spans="1:42" s="3238" customFormat="1" ht="14.25" customHeight="1">
      <c r="A325" s="2169"/>
      <c r="B325" s="2169"/>
      <c r="C325" s="2169"/>
      <c r="D325" s="2169"/>
      <c r="E325" s="4760" t="s">
        <v>157</v>
      </c>
      <c r="F325" s="4759"/>
      <c r="G325" s="2169"/>
      <c r="H325" s="2169"/>
      <c r="I325" s="2169"/>
      <c r="J325" s="2169"/>
      <c r="K325" s="2169"/>
      <c r="L325" s="2170"/>
      <c r="M325" s="2171"/>
      <c r="N325" s="2171"/>
      <c r="O325" s="1978"/>
      <c r="P325" s="2172"/>
      <c r="Q325" s="2173"/>
      <c r="R325" s="2172"/>
      <c r="S325" s="2174"/>
      <c r="T325" s="2175" t="s">
        <v>316</v>
      </c>
      <c r="U325" s="2176"/>
      <c r="V325" s="2176"/>
      <c r="W325" s="2176"/>
      <c r="X325" s="2176"/>
      <c r="Y325" s="2176"/>
      <c r="Z325" s="2176"/>
      <c r="AA325" s="2176"/>
      <c r="AB325" s="2176"/>
      <c r="AC325" s="2176"/>
      <c r="AD325" s="2176"/>
      <c r="AE325" s="2176"/>
      <c r="AF325" s="2176"/>
      <c r="AG325" s="2176"/>
      <c r="AH325" s="2176"/>
      <c r="AI325" s="2176"/>
      <c r="AJ325" s="2176"/>
      <c r="AK325" s="2176"/>
      <c r="AL325" s="1978"/>
      <c r="AM325" s="1979"/>
      <c r="AN325" s="1979" t="str">
        <f t="shared" si="5"/>
        <v>Добавить централизованную систему для дифференциации</v>
      </c>
      <c r="AO325" s="1979"/>
      <c r="AP325" s="1979"/>
    </row>
    <row r="326" spans="1:42" s="3239" customFormat="1" ht="14.25" customHeight="1">
      <c r="A326" s="2169"/>
      <c r="B326" s="2169"/>
      <c r="C326" s="2169"/>
      <c r="D326" s="2169"/>
      <c r="E326" s="4759" t="s">
        <v>157</v>
      </c>
      <c r="F326" s="2169"/>
      <c r="G326" s="2169"/>
      <c r="H326" s="2169"/>
      <c r="I326" s="2169"/>
      <c r="J326" s="2169"/>
      <c r="K326" s="2169"/>
      <c r="L326" s="2170"/>
      <c r="M326" s="2171"/>
      <c r="N326" s="2171"/>
      <c r="O326" s="1978"/>
      <c r="P326" s="2172"/>
      <c r="Q326" s="2173"/>
      <c r="R326" s="2172"/>
      <c r="S326" s="2174"/>
      <c r="T326" s="2175" t="s">
        <v>317</v>
      </c>
      <c r="U326" s="2176"/>
      <c r="V326" s="2176"/>
      <c r="W326" s="2176"/>
      <c r="X326" s="2176"/>
      <c r="Y326" s="2176"/>
      <c r="Z326" s="2176"/>
      <c r="AA326" s="2176"/>
      <c r="AB326" s="2176"/>
      <c r="AC326" s="2176"/>
      <c r="AD326" s="2176"/>
      <c r="AE326" s="2176"/>
      <c r="AF326" s="2176"/>
      <c r="AG326" s="2176"/>
      <c r="AH326" s="2176"/>
      <c r="AI326" s="2176"/>
      <c r="AJ326" s="2176"/>
      <c r="AK326" s="2176"/>
      <c r="AL326" s="1978"/>
      <c r="AM326" s="1979"/>
      <c r="AN326" s="1979" t="str">
        <f t="shared" si="5"/>
        <v>Добавить территорию для дифференциации</v>
      </c>
      <c r="AO326" s="1979"/>
      <c r="AP326" s="1979"/>
    </row>
    <row r="327" spans="1:42" s="3240" customFormat="1" ht="23.25" customHeight="1">
      <c r="A327" s="1967" t="s">
        <v>369</v>
      </c>
      <c r="B327" s="1967"/>
      <c r="C327" s="1967"/>
      <c r="D327" s="1967"/>
      <c r="E327" s="4759" t="s">
        <v>210</v>
      </c>
      <c r="F327" s="1967"/>
      <c r="G327" s="1967"/>
      <c r="H327" s="1967"/>
      <c r="I327" s="1967"/>
      <c r="J327" s="1967"/>
      <c r="K327" s="1967"/>
      <c r="L327" s="1968"/>
      <c r="M327" s="2039"/>
      <c r="N327" s="2039"/>
      <c r="O327" s="2039"/>
      <c r="P327" s="2040"/>
      <c r="Q327" s="2041"/>
      <c r="R327" s="2042"/>
      <c r="S327" s="1972" t="str">
        <f>INDEX(PT_DIFFERENTIATION_NUM_NTAR,MATCH(A327,PT_DIFFERENTIATION_NTAR_ID,0))</f>
        <v>12</v>
      </c>
      <c r="T327" s="2043" t="s">
        <v>185</v>
      </c>
      <c r="U327" s="1974"/>
      <c r="V327" s="4745"/>
      <c r="W327" s="4746"/>
      <c r="X327" s="4746"/>
      <c r="Y327" s="4746"/>
      <c r="Z327" s="4746"/>
      <c r="AA327" s="4746"/>
      <c r="AB327" s="4747"/>
      <c r="AC327" s="4745" t="str">
        <f>INDEX(PT_DIFFERENTIATION_NTAR,MATCH(A327,PT_DIFFERENTIATION_NTAR_ID,0))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AD327" s="4746"/>
      <c r="AE327" s="4746"/>
      <c r="AF327" s="4746"/>
      <c r="AG327" s="4746"/>
      <c r="AH327" s="4746"/>
      <c r="AI327" s="4746"/>
      <c r="AJ327" s="4747"/>
      <c r="AK327"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27" s="1978"/>
      <c r="AM327" s="1979"/>
      <c r="AN327" s="1979" t="str">
        <f t="shared" si="5"/>
        <v>Наименование тарифа</v>
      </c>
      <c r="AO327" s="1979"/>
      <c r="AP327" s="1979"/>
    </row>
    <row r="328" spans="1:42" s="3241" customFormat="1" ht="23.25" customHeight="1">
      <c r="A328" s="1967"/>
      <c r="B328" s="1967" t="s">
        <v>370</v>
      </c>
      <c r="C328" s="1967"/>
      <c r="D328" s="1967"/>
      <c r="E328" s="4760" t="s">
        <v>162</v>
      </c>
      <c r="F328" s="4759">
        <v>1</v>
      </c>
      <c r="G328" s="1967"/>
      <c r="H328" s="1967"/>
      <c r="I328" s="1967"/>
      <c r="J328" s="1967"/>
      <c r="K328" s="1967"/>
      <c r="L328" s="1968"/>
      <c r="M328" s="2039"/>
      <c r="N328" s="2039"/>
      <c r="O328" s="2039"/>
      <c r="P328" s="2045"/>
      <c r="Q328" s="2046"/>
      <c r="R328" s="2047"/>
      <c r="S328" s="1972" t="str">
        <f>INDEX(PT_DIFFERENTIATION_NUM_TER,MATCH(B328,PT_DIFFERENTIATION_TER_ID,0))</f>
        <v>12.1</v>
      </c>
      <c r="T328" s="2048" t="s">
        <v>538</v>
      </c>
      <c r="U328" s="1974"/>
      <c r="V328" s="4745"/>
      <c r="W328" s="4746"/>
      <c r="X328" s="4746"/>
      <c r="Y328" s="4746"/>
      <c r="Z328" s="4746"/>
      <c r="AA328" s="4746"/>
      <c r="AB328" s="4747"/>
      <c r="AC328" s="4745" t="str">
        <f>INDEX(PT_DIFFERENTIATION_TER,MATCH(B328,PT_DIFFERENTIATION_TER_ID,0))</f>
        <v>Территория 8</v>
      </c>
      <c r="AD328" s="4746"/>
      <c r="AE328" s="4746"/>
      <c r="AF328" s="4746"/>
      <c r="AG328" s="4746"/>
      <c r="AH328" s="4746"/>
      <c r="AI328" s="4746"/>
      <c r="AJ328" s="4747"/>
      <c r="AK328" s="2013" t="s">
        <v>539</v>
      </c>
      <c r="AL328" s="1978"/>
      <c r="AM328" s="1979"/>
      <c r="AN328" s="1979" t="str">
        <f t="shared" si="5"/>
        <v>Территория действия тарифа</v>
      </c>
      <c r="AO328" s="1979"/>
      <c r="AP328" s="1979"/>
    </row>
    <row r="329" spans="1:42" s="3242" customFormat="1" ht="23.25" customHeight="1">
      <c r="A329" s="1967"/>
      <c r="B329" s="1967"/>
      <c r="C329" s="1967" t="s">
        <v>371</v>
      </c>
      <c r="D329" s="1967"/>
      <c r="E329" s="4760" t="s">
        <v>162</v>
      </c>
      <c r="F329" s="4760"/>
      <c r="G329" s="4759">
        <v>1</v>
      </c>
      <c r="H329" s="1967"/>
      <c r="I329" s="1967"/>
      <c r="J329" s="1967"/>
      <c r="K329" s="1967"/>
      <c r="L329" s="1968"/>
      <c r="M329" s="2039"/>
      <c r="N329" s="2039"/>
      <c r="O329" s="2039"/>
      <c r="P329" s="2050"/>
      <c r="Q329" s="2046"/>
      <c r="R329" s="2047"/>
      <c r="S329" s="1972" t="str">
        <f>INDEX(PT_DIFFERENTIATION_NUM_CS,MATCH(C329,PT_DIFFERENTIATION_CS_ID,0))</f>
        <v>12.1.1</v>
      </c>
      <c r="T329" s="2051" t="s">
        <v>652</v>
      </c>
      <c r="U329" s="1974"/>
      <c r="V329" s="4745"/>
      <c r="W329" s="4746"/>
      <c r="X329" s="4746"/>
      <c r="Y329" s="4746"/>
      <c r="Z329" s="4746"/>
      <c r="AA329" s="4746"/>
      <c r="AB329" s="4747"/>
      <c r="AC329" s="4745" t="str">
        <f>INDEX(PT_DIFFERENTIATION_CS,MATCH(C329,PT_DIFFERENTIATION_CS_ID,0))</f>
        <v>без дифференциации</v>
      </c>
      <c r="AD329" s="4746"/>
      <c r="AE329" s="4746"/>
      <c r="AF329" s="4746"/>
      <c r="AG329" s="4746"/>
      <c r="AH329" s="4746"/>
      <c r="AI329" s="4746"/>
      <c r="AJ329" s="4747"/>
      <c r="AK329" s="2013" t="s">
        <v>653</v>
      </c>
      <c r="AL329" s="1978"/>
      <c r="AM329" s="1979"/>
      <c r="AN329" s="1979" t="str">
        <f t="shared" si="5"/>
        <v>Наименование централизованной системы водоотведения</v>
      </c>
      <c r="AO329" s="1979"/>
      <c r="AP329" s="1979"/>
    </row>
    <row r="330" spans="1:42" s="3243" customFormat="1" ht="23.25" customHeight="1">
      <c r="A330" s="1967"/>
      <c r="B330" s="1967"/>
      <c r="C330" s="1967"/>
      <c r="D330" s="1967"/>
      <c r="E330" s="4760" t="s">
        <v>162</v>
      </c>
      <c r="F330" s="4760"/>
      <c r="G330" s="4760"/>
      <c r="H330" s="4760"/>
      <c r="I330" s="4757" t="str">
        <f>S329&amp;".1"</f>
        <v>12.1.1.1</v>
      </c>
      <c r="J330" s="1967"/>
      <c r="K330" s="1967"/>
      <c r="L330" s="1968"/>
      <c r="M330" s="1969"/>
      <c r="N330" s="1969"/>
      <c r="O330" s="1969"/>
      <c r="P330" s="4758">
        <v>1</v>
      </c>
      <c r="Q330" s="1970"/>
      <c r="R330" s="1994"/>
      <c r="S330" s="1972" t="str">
        <f>$I330</f>
        <v>12.1.1.1</v>
      </c>
      <c r="T330" s="2053" t="s">
        <v>621</v>
      </c>
      <c r="U330" s="1974"/>
      <c r="V330" s="4818"/>
      <c r="W330" s="4819"/>
      <c r="X330" s="4819"/>
      <c r="Y330" s="4819"/>
      <c r="Z330" s="4819"/>
      <c r="AA330" s="4819"/>
      <c r="AB330" s="4820"/>
      <c r="AC330" s="4821"/>
      <c r="AD330" s="4822"/>
      <c r="AE330" s="4822"/>
      <c r="AF330" s="4822"/>
      <c r="AG330" s="4822"/>
      <c r="AH330" s="4822"/>
      <c r="AI330" s="4822"/>
      <c r="AJ330" s="4823"/>
      <c r="AK330" s="2013" t="s">
        <v>622</v>
      </c>
      <c r="AL330" s="1978"/>
      <c r="AM330" s="1979"/>
      <c r="AN330" s="1979" t="str">
        <f t="shared" si="5"/>
        <v>Наименование признака дифференциации</v>
      </c>
      <c r="AO330" s="1979"/>
      <c r="AP330" s="1979"/>
    </row>
    <row r="331" spans="1:42" s="3244" customFormat="1" ht="23.25" customHeight="1">
      <c r="A331" s="1967"/>
      <c r="B331" s="1967"/>
      <c r="C331" s="1967"/>
      <c r="D331" s="1967"/>
      <c r="E331" s="4760" t="s">
        <v>162</v>
      </c>
      <c r="F331" s="4760"/>
      <c r="G331" s="4760"/>
      <c r="H331" s="4760"/>
      <c r="I331" s="4780"/>
      <c r="J331" s="4757" t="str">
        <f>I330&amp;".1"</f>
        <v>12.1.1.1.1</v>
      </c>
      <c r="K331" s="1967"/>
      <c r="L331" s="1968" t="s">
        <v>547</v>
      </c>
      <c r="M331" s="1969"/>
      <c r="N331" s="1969"/>
      <c r="O331" s="1969"/>
      <c r="P331" s="4758"/>
      <c r="Q331" s="4758">
        <v>1</v>
      </c>
      <c r="R331" s="1981"/>
      <c r="S331" s="1972" t="str">
        <f>$J331</f>
        <v>12.1.1.1.1</v>
      </c>
      <c r="T331" s="1987" t="s">
        <v>548</v>
      </c>
      <c r="U331" s="1974"/>
      <c r="V331" s="4748"/>
      <c r="W331" s="4749"/>
      <c r="X331" s="4749"/>
      <c r="Y331" s="4749"/>
      <c r="Z331" s="4749"/>
      <c r="AA331" s="4749"/>
      <c r="AB331" s="4750"/>
      <c r="AC331" s="4748" t="s">
        <v>657</v>
      </c>
      <c r="AD331" s="4749"/>
      <c r="AE331" s="4749"/>
      <c r="AF331" s="4749"/>
      <c r="AG331" s="4749"/>
      <c r="AH331" s="4749"/>
      <c r="AI331" s="4749"/>
      <c r="AJ331" s="4750"/>
      <c r="AK331" s="1988" t="s">
        <v>623</v>
      </c>
      <c r="AL331" s="1978"/>
      <c r="AM331" s="1979"/>
      <c r="AN331" s="1979" t="str">
        <f t="shared" si="5"/>
        <v>Группа потребителей</v>
      </c>
      <c r="AO331" s="1979"/>
      <c r="AP331" s="1979"/>
    </row>
    <row r="332" spans="1:42" s="3245" customFormat="1" ht="23.25" customHeight="1">
      <c r="A332" s="1967"/>
      <c r="B332" s="1967"/>
      <c r="C332" s="1967"/>
      <c r="D332" s="1967"/>
      <c r="E332" s="4760" t="s">
        <v>162</v>
      </c>
      <c r="F332" s="4760"/>
      <c r="G332" s="4760"/>
      <c r="H332" s="4760"/>
      <c r="I332" s="4780"/>
      <c r="J332" s="4780"/>
      <c r="K332" s="4757" t="str">
        <f>J331&amp;".1"</f>
        <v>12.1.1.1.1.1</v>
      </c>
      <c r="L332" s="1968"/>
      <c r="M332" s="1969"/>
      <c r="N332" s="1969"/>
      <c r="O332" s="1969"/>
      <c r="P332" s="4758"/>
      <c r="Q332" s="4758"/>
      <c r="R332" s="1981">
        <v>1</v>
      </c>
      <c r="S332" s="1972" t="str">
        <f>$K332</f>
        <v>12.1.1.1.1.1</v>
      </c>
      <c r="T332" s="1973" t="s">
        <v>658</v>
      </c>
      <c r="U332" s="1974"/>
      <c r="V332" s="1975"/>
      <c r="W332" s="1975"/>
      <c r="X332" s="1976"/>
      <c r="Y332" s="4762"/>
      <c r="Z332" s="4608" t="s">
        <v>65</v>
      </c>
      <c r="AA332" s="4762"/>
      <c r="AB332" s="4608" t="s">
        <v>65</v>
      </c>
      <c r="AC332" s="1975">
        <v>24.95</v>
      </c>
      <c r="AD332" s="1975"/>
      <c r="AE332" s="1976"/>
      <c r="AF332" s="4762">
        <v>45292</v>
      </c>
      <c r="AG332" s="4608" t="s">
        <v>65</v>
      </c>
      <c r="AH332" s="4781">
        <v>45473</v>
      </c>
      <c r="AI332" s="4608" t="s">
        <v>65</v>
      </c>
      <c r="AJ332" s="1977"/>
      <c r="AK33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2" s="1978" t="e">
        <f ca="1">STRCHECKDATE(V333:AJ333)</f>
        <v>#NAME?</v>
      </c>
      <c r="AM332" s="1979"/>
      <c r="AN332" s="1979" t="str">
        <f t="shared" si="5"/>
        <v>Население (с учетом НДС)</v>
      </c>
      <c r="AO332" s="1979"/>
      <c r="AP332" s="1979"/>
    </row>
    <row r="333" spans="1:42" s="3246" customFormat="1" ht="14.25" customHeight="1">
      <c r="A333" s="1967"/>
      <c r="B333" s="1967"/>
      <c r="C333" s="1967"/>
      <c r="D333" s="1967"/>
      <c r="E333" s="4760" t="s">
        <v>162</v>
      </c>
      <c r="F333" s="4760"/>
      <c r="G333" s="4760"/>
      <c r="H333" s="4760"/>
      <c r="I333" s="4780"/>
      <c r="J333" s="4780"/>
      <c r="K333" s="4757"/>
      <c r="L333" s="1968"/>
      <c r="M333" s="1969"/>
      <c r="N333" s="1969"/>
      <c r="O333" s="1969"/>
      <c r="P333" s="4758"/>
      <c r="Q333" s="4758"/>
      <c r="R333" s="1981"/>
      <c r="S333" s="1982"/>
      <c r="T333" s="1974"/>
      <c r="U333" s="1974"/>
      <c r="V333" s="1983"/>
      <c r="W333" s="1983"/>
      <c r="X333" s="1984" t="str">
        <f>Y332&amp;"-"&amp;AA332</f>
        <v>-</v>
      </c>
      <c r="Y333" s="4763"/>
      <c r="Z333" s="4608"/>
      <c r="AA333" s="4763"/>
      <c r="AB333" s="4608"/>
      <c r="AC333" s="1983"/>
      <c r="AD333" s="1983"/>
      <c r="AE333" s="1984" t="str">
        <f>AF332&amp;"-"&amp;AH332</f>
        <v>45292-45473</v>
      </c>
      <c r="AF333" s="4763"/>
      <c r="AG333" s="4608"/>
      <c r="AH333" s="4782"/>
      <c r="AI333" s="4608"/>
      <c r="AJ333" s="1985"/>
      <c r="AK333" s="4817"/>
      <c r="AL333" s="1978"/>
      <c r="AM333" s="1979"/>
      <c r="AN333" s="1979" t="str">
        <f t="shared" si="5"/>
        <v/>
      </c>
      <c r="AO333" s="1979"/>
      <c r="AP333" s="1979"/>
    </row>
    <row r="334" spans="1:42" s="3247" customFormat="1" ht="23.25" customHeight="1">
      <c r="A334" s="1967"/>
      <c r="B334" s="1967"/>
      <c r="C334" s="1967"/>
      <c r="D334" s="1967"/>
      <c r="E334" s="4760"/>
      <c r="F334" s="4760"/>
      <c r="G334" s="4760"/>
      <c r="H334" s="4760"/>
      <c r="I334" s="4780"/>
      <c r="J334" s="4780"/>
      <c r="K334" s="4757" t="str">
        <f>J331&amp;".2"</f>
        <v>12.1.1.1.1.2</v>
      </c>
      <c r="L334" s="1968"/>
      <c r="M334" s="1969"/>
      <c r="N334" s="1969"/>
      <c r="O334" s="1969"/>
      <c r="P334" s="4758"/>
      <c r="Q334" s="4758"/>
      <c r="R334" s="1971" t="s">
        <v>102</v>
      </c>
      <c r="S334" s="1972" t="str">
        <f>$K334</f>
        <v>12.1.1.1.1.2</v>
      </c>
      <c r="T334" s="1973" t="s">
        <v>658</v>
      </c>
      <c r="U334" s="1974"/>
      <c r="V334" s="1975"/>
      <c r="W334" s="1975"/>
      <c r="X334" s="1976"/>
      <c r="Y334" s="4762"/>
      <c r="Z334" s="4608" t="s">
        <v>65</v>
      </c>
      <c r="AA334" s="4762"/>
      <c r="AB334" s="4608" t="s">
        <v>65</v>
      </c>
      <c r="AC334" s="1975">
        <v>27.19</v>
      </c>
      <c r="AD334" s="1975"/>
      <c r="AE334" s="1976"/>
      <c r="AF334" s="4762">
        <v>45474</v>
      </c>
      <c r="AG334" s="4608" t="s">
        <v>65</v>
      </c>
      <c r="AH334" s="4781">
        <v>45657</v>
      </c>
      <c r="AI334" s="4608" t="s">
        <v>65</v>
      </c>
      <c r="AJ334" s="1977"/>
      <c r="AK33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4" s="1978" t="e">
        <f ca="1">STRCHECKDATE(V335:AJ335)</f>
        <v>#NAME?</v>
      </c>
      <c r="AM334" s="1979"/>
      <c r="AN334" s="1979" t="str">
        <f t="shared" si="5"/>
        <v>Население (с учетом НДС)</v>
      </c>
      <c r="AO334" s="1979"/>
      <c r="AP334" s="1979"/>
    </row>
    <row r="335" spans="1:42" s="3248" customFormat="1" ht="14.25" customHeight="1">
      <c r="A335" s="1967"/>
      <c r="B335" s="1967"/>
      <c r="C335" s="1967"/>
      <c r="D335" s="1967"/>
      <c r="E335" s="4760"/>
      <c r="F335" s="4760"/>
      <c r="G335" s="4760"/>
      <c r="H335" s="4760"/>
      <c r="I335" s="4780"/>
      <c r="J335" s="4780"/>
      <c r="K335" s="4757" t="str">
        <f>J331&amp;".1"</f>
        <v>12.1.1.1.1.1</v>
      </c>
      <c r="L335" s="1968"/>
      <c r="M335" s="1969"/>
      <c r="N335" s="1969"/>
      <c r="O335" s="1969"/>
      <c r="P335" s="4758"/>
      <c r="Q335" s="4758"/>
      <c r="R335" s="1981"/>
      <c r="S335" s="1982"/>
      <c r="T335" s="1974"/>
      <c r="U335" s="1974"/>
      <c r="V335" s="1983"/>
      <c r="W335" s="1983"/>
      <c r="X335" s="1984" t="str">
        <f>Y334&amp;"-"&amp;AA334</f>
        <v>-</v>
      </c>
      <c r="Y335" s="4763"/>
      <c r="Z335" s="4608"/>
      <c r="AA335" s="4763"/>
      <c r="AB335" s="4608"/>
      <c r="AC335" s="1983"/>
      <c r="AD335" s="1983"/>
      <c r="AE335" s="1984" t="str">
        <f>AF334&amp;"-"&amp;AH334</f>
        <v>45474-45657</v>
      </c>
      <c r="AF335" s="4763"/>
      <c r="AG335" s="4608"/>
      <c r="AH335" s="4782"/>
      <c r="AI335" s="4608"/>
      <c r="AJ335" s="1985"/>
      <c r="AK335" s="4817"/>
      <c r="AL335" s="1978"/>
      <c r="AM335" s="1979"/>
      <c r="AN335" s="1979" t="str">
        <f t="shared" si="5"/>
        <v/>
      </c>
      <c r="AO335" s="1979"/>
      <c r="AP335" s="1979"/>
    </row>
    <row r="336" spans="1:42" s="3249" customFormat="1" ht="21" customHeight="1">
      <c r="A336" s="1967"/>
      <c r="B336" s="1967"/>
      <c r="C336" s="1967"/>
      <c r="D336" s="1967"/>
      <c r="E336" s="4760" t="s">
        <v>162</v>
      </c>
      <c r="F336" s="4760"/>
      <c r="G336" s="4760"/>
      <c r="H336" s="4760"/>
      <c r="I336" s="4780"/>
      <c r="J336" s="4757"/>
      <c r="K336" s="1967"/>
      <c r="L336" s="1968"/>
      <c r="M336" s="1969"/>
      <c r="N336" s="1969"/>
      <c r="O336" s="1969"/>
      <c r="P336" s="4758"/>
      <c r="Q336" s="4758"/>
      <c r="R336" s="1994"/>
      <c r="S336" s="3250"/>
      <c r="T336" s="3251" t="s">
        <v>624</v>
      </c>
      <c r="U336" s="3252"/>
      <c r="V336" s="3253"/>
      <c r="W336" s="3254"/>
      <c r="X336" s="3255"/>
      <c r="Y336" s="3256"/>
      <c r="Z336" s="3257"/>
      <c r="AA336" s="3258"/>
      <c r="AB336" s="3259"/>
      <c r="AC336" s="3260"/>
      <c r="AD336" s="3261"/>
      <c r="AE336" s="3262"/>
      <c r="AF336" s="3263"/>
      <c r="AG336" s="3264"/>
      <c r="AH336" s="3265"/>
      <c r="AI336" s="3266"/>
      <c r="AJ336" s="3267"/>
      <c r="AK336" s="2013" t="s">
        <v>625</v>
      </c>
      <c r="AL336" s="1978"/>
      <c r="AM336" s="1979"/>
      <c r="AN336" s="1979" t="str">
        <f t="shared" si="5"/>
        <v>Добавить значение признака дифференциации</v>
      </c>
      <c r="AO336" s="1979"/>
      <c r="AP336" s="1979"/>
    </row>
    <row r="337" spans="1:42" s="3268" customFormat="1" ht="23.25" customHeight="1">
      <c r="A337" s="1967"/>
      <c r="B337" s="1967"/>
      <c r="C337" s="1967"/>
      <c r="D337" s="1967"/>
      <c r="E337" s="4760"/>
      <c r="F337" s="4760"/>
      <c r="G337" s="4760"/>
      <c r="H337" s="4760"/>
      <c r="I337" s="4780"/>
      <c r="J337" s="4757" t="str">
        <f>I330&amp;".2"</f>
        <v>12.1.1.1.2</v>
      </c>
      <c r="K337" s="1967"/>
      <c r="L337" s="1968" t="s">
        <v>547</v>
      </c>
      <c r="M337" s="1969"/>
      <c r="N337" s="1969"/>
      <c r="O337" s="1969"/>
      <c r="P337" s="4758"/>
      <c r="Q337" s="4833" t="s">
        <v>102</v>
      </c>
      <c r="R337" s="1981"/>
      <c r="S337" s="1972" t="str">
        <f>$J337</f>
        <v>12.1.1.1.2</v>
      </c>
      <c r="T337" s="1987" t="s">
        <v>548</v>
      </c>
      <c r="U337" s="1974"/>
      <c r="V337" s="4748"/>
      <c r="W337" s="4749"/>
      <c r="X337" s="4749"/>
      <c r="Y337" s="4749"/>
      <c r="Z337" s="4749"/>
      <c r="AA337" s="4749"/>
      <c r="AB337" s="4750"/>
      <c r="AC337" s="4748" t="s">
        <v>659</v>
      </c>
      <c r="AD337" s="4749"/>
      <c r="AE337" s="4749"/>
      <c r="AF337" s="4749"/>
      <c r="AG337" s="4749"/>
      <c r="AH337" s="4749"/>
      <c r="AI337" s="4749"/>
      <c r="AJ337" s="4750"/>
      <c r="AK337" s="1988" t="s">
        <v>623</v>
      </c>
      <c r="AL337" s="1978"/>
      <c r="AM337" s="1979"/>
      <c r="AN337" s="1979" t="str">
        <f t="shared" si="5"/>
        <v>Группа потребителей</v>
      </c>
      <c r="AO337" s="1979"/>
      <c r="AP337" s="1979"/>
    </row>
    <row r="338" spans="1:42" s="3269" customFormat="1" ht="23.25" customHeight="1">
      <c r="A338" s="1967"/>
      <c r="B338" s="1967"/>
      <c r="C338" s="1967"/>
      <c r="D338" s="1967"/>
      <c r="E338" s="4760"/>
      <c r="F338" s="4760"/>
      <c r="G338" s="4760"/>
      <c r="H338" s="4760"/>
      <c r="I338" s="4780"/>
      <c r="J338" s="4780" t="str">
        <f>I330&amp;".1"</f>
        <v>12.1.1.1.1</v>
      </c>
      <c r="K338" s="4757" t="str">
        <f>J337&amp;".1"</f>
        <v>12.1.1.1.2.1</v>
      </c>
      <c r="L338" s="1968"/>
      <c r="M338" s="1969"/>
      <c r="N338" s="1969"/>
      <c r="O338" s="1969"/>
      <c r="P338" s="4758"/>
      <c r="Q338" s="4758"/>
      <c r="R338" s="1981">
        <v>1</v>
      </c>
      <c r="S338" s="1972" t="str">
        <f>$K338</f>
        <v>12.1.1.1.2.1</v>
      </c>
      <c r="T338" s="1973" t="s">
        <v>660</v>
      </c>
      <c r="U338" s="1974"/>
      <c r="V338" s="1975"/>
      <c r="W338" s="1975"/>
      <c r="X338" s="1976"/>
      <c r="Y338" s="4762"/>
      <c r="Z338" s="4608" t="s">
        <v>65</v>
      </c>
      <c r="AA338" s="4762"/>
      <c r="AB338" s="4608" t="s">
        <v>65</v>
      </c>
      <c r="AC338" s="1975">
        <v>20.79</v>
      </c>
      <c r="AD338" s="1975"/>
      <c r="AE338" s="1976"/>
      <c r="AF338" s="4762">
        <v>45292</v>
      </c>
      <c r="AG338" s="4608" t="s">
        <v>65</v>
      </c>
      <c r="AH338" s="4781">
        <v>45473</v>
      </c>
      <c r="AI338" s="4608" t="s">
        <v>65</v>
      </c>
      <c r="AJ338" s="1977"/>
      <c r="AK33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8" s="1978" t="e">
        <f ca="1">STRCHECKDATE(V339:AJ339)</f>
        <v>#NAME?</v>
      </c>
      <c r="AM338" s="1979"/>
      <c r="AN338" s="1979" t="str">
        <f t="shared" si="5"/>
        <v>Потребители, кроме населения (без учета НДС)</v>
      </c>
      <c r="AO338" s="1979"/>
      <c r="AP338" s="1979"/>
    </row>
    <row r="339" spans="1:42" s="3270" customFormat="1" ht="14.25" customHeight="1">
      <c r="A339" s="1967"/>
      <c r="B339" s="1967"/>
      <c r="C339" s="1967"/>
      <c r="D339" s="1967"/>
      <c r="E339" s="4760"/>
      <c r="F339" s="4760"/>
      <c r="G339" s="4760"/>
      <c r="H339" s="4760"/>
      <c r="I339" s="4780"/>
      <c r="J339" s="4780" t="str">
        <f>I330&amp;".1"</f>
        <v>12.1.1.1.1</v>
      </c>
      <c r="K339" s="4757"/>
      <c r="L339" s="1968"/>
      <c r="M339" s="1969"/>
      <c r="N339" s="1969"/>
      <c r="O339" s="1969"/>
      <c r="P339" s="4758"/>
      <c r="Q339" s="4758"/>
      <c r="R339" s="1981"/>
      <c r="S339" s="1982"/>
      <c r="T339" s="1974"/>
      <c r="U339" s="1974"/>
      <c r="V339" s="1983"/>
      <c r="W339" s="1983"/>
      <c r="X339" s="1984" t="str">
        <f>Y338&amp;"-"&amp;AA338</f>
        <v>-</v>
      </c>
      <c r="Y339" s="4763"/>
      <c r="Z339" s="4608"/>
      <c r="AA339" s="4763"/>
      <c r="AB339" s="4608"/>
      <c r="AC339" s="1983"/>
      <c r="AD339" s="1983"/>
      <c r="AE339" s="1984" t="str">
        <f>AF338&amp;"-"&amp;AH338</f>
        <v>45292-45473</v>
      </c>
      <c r="AF339" s="4763"/>
      <c r="AG339" s="4608"/>
      <c r="AH339" s="4782"/>
      <c r="AI339" s="4608"/>
      <c r="AJ339" s="1985"/>
      <c r="AK339" s="4817"/>
      <c r="AL339" s="1978"/>
      <c r="AM339" s="1979"/>
      <c r="AN339" s="1979" t="str">
        <f t="shared" si="5"/>
        <v/>
      </c>
      <c r="AO339" s="1979"/>
      <c r="AP339" s="1979"/>
    </row>
    <row r="340" spans="1:42" s="3271" customFormat="1" ht="23.25" customHeight="1">
      <c r="A340" s="1967"/>
      <c r="B340" s="1967"/>
      <c r="C340" s="1967"/>
      <c r="D340" s="1967"/>
      <c r="E340" s="4760"/>
      <c r="F340" s="4760"/>
      <c r="G340" s="4760"/>
      <c r="H340" s="4760"/>
      <c r="I340" s="4780"/>
      <c r="J340" s="4780"/>
      <c r="K340" s="4757" t="str">
        <f>J337&amp;".2"</f>
        <v>12.1.1.1.2.2</v>
      </c>
      <c r="L340" s="1968"/>
      <c r="M340" s="1969"/>
      <c r="N340" s="1969"/>
      <c r="O340" s="1969"/>
      <c r="P340" s="4758"/>
      <c r="Q340" s="4758"/>
      <c r="R340" s="1971" t="s">
        <v>102</v>
      </c>
      <c r="S340" s="1972" t="str">
        <f>$K340</f>
        <v>12.1.1.1.2.2</v>
      </c>
      <c r="T340" s="1973" t="s">
        <v>660</v>
      </c>
      <c r="U340" s="1974"/>
      <c r="V340" s="1975"/>
      <c r="W340" s="1975"/>
      <c r="X340" s="1976"/>
      <c r="Y340" s="4762"/>
      <c r="Z340" s="4608" t="s">
        <v>65</v>
      </c>
      <c r="AA340" s="4762"/>
      <c r="AB340" s="4608" t="s">
        <v>65</v>
      </c>
      <c r="AC340" s="1975">
        <v>54.64</v>
      </c>
      <c r="AD340" s="1975"/>
      <c r="AE340" s="1976"/>
      <c r="AF340" s="4762">
        <v>45474</v>
      </c>
      <c r="AG340" s="4608" t="s">
        <v>65</v>
      </c>
      <c r="AH340" s="4781">
        <v>45657</v>
      </c>
      <c r="AI340" s="4608" t="s">
        <v>65</v>
      </c>
      <c r="AJ340" s="1977"/>
      <c r="AK34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0" s="1978" t="e">
        <f ca="1">STRCHECKDATE(V341:AJ341)</f>
        <v>#NAME?</v>
      </c>
      <c r="AM340" s="1979"/>
      <c r="AN340" s="1979" t="str">
        <f t="shared" si="5"/>
        <v>Потребители, кроме населения (без учета НДС)</v>
      </c>
      <c r="AO340" s="1979"/>
      <c r="AP340" s="1979"/>
    </row>
    <row r="341" spans="1:42" s="3272" customFormat="1" ht="14.25" customHeight="1">
      <c r="A341" s="1967"/>
      <c r="B341" s="1967"/>
      <c r="C341" s="1967"/>
      <c r="D341" s="1967"/>
      <c r="E341" s="4760"/>
      <c r="F341" s="4760"/>
      <c r="G341" s="4760"/>
      <c r="H341" s="4760"/>
      <c r="I341" s="4780"/>
      <c r="J341" s="4780"/>
      <c r="K341" s="4757" t="str">
        <f>J337&amp;".1"</f>
        <v>12.1.1.1.2.1</v>
      </c>
      <c r="L341" s="1968"/>
      <c r="M341" s="1969"/>
      <c r="N341" s="1969"/>
      <c r="O341" s="1969"/>
      <c r="P341" s="4758"/>
      <c r="Q341" s="4758"/>
      <c r="R341" s="1981"/>
      <c r="S341" s="1982"/>
      <c r="T341" s="1974"/>
      <c r="U341" s="1974"/>
      <c r="V341" s="1983"/>
      <c r="W341" s="1983"/>
      <c r="X341" s="1984" t="str">
        <f>Y340&amp;"-"&amp;AA340</f>
        <v>-</v>
      </c>
      <c r="Y341" s="4763"/>
      <c r="Z341" s="4608"/>
      <c r="AA341" s="4763"/>
      <c r="AB341" s="4608"/>
      <c r="AC341" s="1983"/>
      <c r="AD341" s="1983"/>
      <c r="AE341" s="1984" t="str">
        <f>AF340&amp;"-"&amp;AH340</f>
        <v>45474-45657</v>
      </c>
      <c r="AF341" s="4763"/>
      <c r="AG341" s="4608"/>
      <c r="AH341" s="4782"/>
      <c r="AI341" s="4608"/>
      <c r="AJ341" s="1985"/>
      <c r="AK341" s="4817"/>
      <c r="AL341" s="1978"/>
      <c r="AM341" s="1979"/>
      <c r="AN341" s="1979" t="str">
        <f t="shared" si="5"/>
        <v/>
      </c>
      <c r="AO341" s="1979"/>
      <c r="AP341" s="1979"/>
    </row>
    <row r="342" spans="1:42" s="3273" customFormat="1" ht="21" customHeight="1">
      <c r="A342" s="1967"/>
      <c r="B342" s="1967"/>
      <c r="C342" s="1967"/>
      <c r="D342" s="1967"/>
      <c r="E342" s="4760"/>
      <c r="F342" s="4760"/>
      <c r="G342" s="4760"/>
      <c r="H342" s="4760"/>
      <c r="I342" s="4780"/>
      <c r="J342" s="4757" t="str">
        <f>I330&amp;".1"</f>
        <v>12.1.1.1.1</v>
      </c>
      <c r="K342" s="1967"/>
      <c r="L342" s="1968"/>
      <c r="M342" s="1969"/>
      <c r="N342" s="1969"/>
      <c r="O342" s="1969"/>
      <c r="P342" s="4758"/>
      <c r="Q342" s="4758"/>
      <c r="R342" s="1994"/>
      <c r="S342" s="3274"/>
      <c r="T342" s="3275" t="s">
        <v>624</v>
      </c>
      <c r="U342" s="3276"/>
      <c r="V342" s="3277"/>
      <c r="W342" s="3278"/>
      <c r="X342" s="3279"/>
      <c r="Y342" s="3280"/>
      <c r="Z342" s="3281"/>
      <c r="AA342" s="3282"/>
      <c r="AB342" s="3283"/>
      <c r="AC342" s="3284"/>
      <c r="AD342" s="3285"/>
      <c r="AE342" s="3286"/>
      <c r="AF342" s="3287"/>
      <c r="AG342" s="3288"/>
      <c r="AH342" s="3289"/>
      <c r="AI342" s="3290"/>
      <c r="AJ342" s="3291"/>
      <c r="AK342" s="2013" t="s">
        <v>625</v>
      </c>
      <c r="AL342" s="1978"/>
      <c r="AM342" s="1979"/>
      <c r="AN342" s="1979" t="str">
        <f t="shared" si="5"/>
        <v>Добавить значение признака дифференциации</v>
      </c>
      <c r="AO342" s="1979"/>
      <c r="AP342" s="1979"/>
    </row>
    <row r="343" spans="1:42" s="3292" customFormat="1" ht="23.25" customHeight="1">
      <c r="A343" s="1967"/>
      <c r="B343" s="1967"/>
      <c r="C343" s="1967"/>
      <c r="D343" s="1967"/>
      <c r="E343" s="4760"/>
      <c r="F343" s="4760"/>
      <c r="G343" s="4760"/>
      <c r="H343" s="4760"/>
      <c r="I343" s="4780"/>
      <c r="J343" s="4757" t="str">
        <f>I330&amp;".3"</f>
        <v>12.1.1.1.3</v>
      </c>
      <c r="K343" s="1967"/>
      <c r="L343" s="1968" t="s">
        <v>547</v>
      </c>
      <c r="M343" s="1969"/>
      <c r="N343" s="1969"/>
      <c r="O343" s="1969"/>
      <c r="P343" s="4758"/>
      <c r="Q343" s="4833" t="s">
        <v>102</v>
      </c>
      <c r="R343" s="1981"/>
      <c r="S343" s="1972" t="str">
        <f>$J343</f>
        <v>12.1.1.1.3</v>
      </c>
      <c r="T343" s="1987" t="s">
        <v>548</v>
      </c>
      <c r="U343" s="1974"/>
      <c r="V343" s="4748"/>
      <c r="W343" s="4749"/>
      <c r="X343" s="4749"/>
      <c r="Y343" s="4749"/>
      <c r="Z343" s="4749"/>
      <c r="AA343" s="4749"/>
      <c r="AB343" s="4750"/>
      <c r="AC343" s="4748" t="s">
        <v>661</v>
      </c>
      <c r="AD343" s="4749"/>
      <c r="AE343" s="4749"/>
      <c r="AF343" s="4749"/>
      <c r="AG343" s="4749"/>
      <c r="AH343" s="4749"/>
      <c r="AI343" s="4749"/>
      <c r="AJ343" s="4750"/>
      <c r="AK343" s="1988" t="s">
        <v>623</v>
      </c>
      <c r="AL343" s="1978"/>
      <c r="AM343" s="1979"/>
      <c r="AN343" s="1979" t="str">
        <f t="shared" si="5"/>
        <v>Группа потребителей</v>
      </c>
      <c r="AO343" s="1979"/>
      <c r="AP343" s="1979"/>
    </row>
    <row r="344" spans="1:42" s="3293" customFormat="1" ht="23.25" customHeight="1">
      <c r="A344" s="1967"/>
      <c r="B344" s="1967"/>
      <c r="C344" s="1967"/>
      <c r="D344" s="1967"/>
      <c r="E344" s="4760"/>
      <c r="F344" s="4760"/>
      <c r="G344" s="4760"/>
      <c r="H344" s="4760"/>
      <c r="I344" s="4780"/>
      <c r="J344" s="4780" t="str">
        <f>I330&amp;".2"</f>
        <v>12.1.1.1.2</v>
      </c>
      <c r="K344" s="4757" t="str">
        <f>J343&amp;".1"</f>
        <v>12.1.1.1.3.1</v>
      </c>
      <c r="L344" s="1968"/>
      <c r="M344" s="1969"/>
      <c r="N344" s="1969"/>
      <c r="O344" s="1969"/>
      <c r="P344" s="4758"/>
      <c r="Q344" s="4758"/>
      <c r="R344" s="1981">
        <v>1</v>
      </c>
      <c r="S344" s="1972" t="str">
        <f>$K344</f>
        <v>12.1.1.1.3.1</v>
      </c>
      <c r="T344" s="1973" t="s">
        <v>660</v>
      </c>
      <c r="U344" s="1974"/>
      <c r="V344" s="1975"/>
      <c r="W344" s="1975"/>
      <c r="X344" s="1976"/>
      <c r="Y344" s="4762"/>
      <c r="Z344" s="4608" t="s">
        <v>65</v>
      </c>
      <c r="AA344" s="4762"/>
      <c r="AB344" s="4608" t="s">
        <v>65</v>
      </c>
      <c r="AC344" s="1975">
        <v>20.79</v>
      </c>
      <c r="AD344" s="1975"/>
      <c r="AE344" s="1976"/>
      <c r="AF344" s="4762">
        <v>45292</v>
      </c>
      <c r="AG344" s="4608" t="s">
        <v>65</v>
      </c>
      <c r="AH344" s="4781">
        <v>45473</v>
      </c>
      <c r="AI344" s="4608" t="s">
        <v>65</v>
      </c>
      <c r="AJ344" s="1977"/>
      <c r="AK34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4" s="1978" t="e">
        <f ca="1">STRCHECKDATE(V345:AJ345)</f>
        <v>#NAME?</v>
      </c>
      <c r="AM344" s="1979"/>
      <c r="AN344" s="1979" t="str">
        <f t="shared" si="5"/>
        <v>Потребители, кроме населения (без учета НДС)</v>
      </c>
      <c r="AO344" s="1979"/>
      <c r="AP344" s="1979"/>
    </row>
    <row r="345" spans="1:42" s="3294" customFormat="1" ht="14.25" customHeight="1">
      <c r="A345" s="1967"/>
      <c r="B345" s="1967"/>
      <c r="C345" s="1967"/>
      <c r="D345" s="1967"/>
      <c r="E345" s="4760"/>
      <c r="F345" s="4760"/>
      <c r="G345" s="4760"/>
      <c r="H345" s="4760"/>
      <c r="I345" s="4780"/>
      <c r="J345" s="4780" t="str">
        <f>I330&amp;".2"</f>
        <v>12.1.1.1.2</v>
      </c>
      <c r="K345" s="4757"/>
      <c r="L345" s="1968"/>
      <c r="M345" s="1969"/>
      <c r="N345" s="1969"/>
      <c r="O345" s="1969"/>
      <c r="P345" s="4758"/>
      <c r="Q345" s="4758"/>
      <c r="R345" s="1981"/>
      <c r="S345" s="1982"/>
      <c r="T345" s="1974"/>
      <c r="U345" s="1974"/>
      <c r="V345" s="1983"/>
      <c r="W345" s="1983"/>
      <c r="X345" s="1984" t="str">
        <f>Y344&amp;"-"&amp;AA344</f>
        <v>-</v>
      </c>
      <c r="Y345" s="4763"/>
      <c r="Z345" s="4608"/>
      <c r="AA345" s="4763"/>
      <c r="AB345" s="4608"/>
      <c r="AC345" s="1983"/>
      <c r="AD345" s="1983"/>
      <c r="AE345" s="1984" t="str">
        <f>AF344&amp;"-"&amp;AH344</f>
        <v>45292-45473</v>
      </c>
      <c r="AF345" s="4763"/>
      <c r="AG345" s="4608"/>
      <c r="AH345" s="4782"/>
      <c r="AI345" s="4608"/>
      <c r="AJ345" s="1985"/>
      <c r="AK345" s="4817"/>
      <c r="AL345" s="1978"/>
      <c r="AM345" s="1979"/>
      <c r="AN345" s="1979" t="str">
        <f t="shared" si="5"/>
        <v/>
      </c>
      <c r="AO345" s="1979"/>
      <c r="AP345" s="1979"/>
    </row>
    <row r="346" spans="1:42" s="3295" customFormat="1" ht="23.25" customHeight="1">
      <c r="A346" s="1967"/>
      <c r="B346" s="1967"/>
      <c r="C346" s="1967"/>
      <c r="D346" s="1967"/>
      <c r="E346" s="4760"/>
      <c r="F346" s="4760"/>
      <c r="G346" s="4760"/>
      <c r="H346" s="4760"/>
      <c r="I346" s="4780"/>
      <c r="J346" s="4780"/>
      <c r="K346" s="4757" t="str">
        <f>J343&amp;".2"</f>
        <v>12.1.1.1.3.2</v>
      </c>
      <c r="L346" s="1968"/>
      <c r="M346" s="1969"/>
      <c r="N346" s="1969"/>
      <c r="O346" s="1969"/>
      <c r="P346" s="4758"/>
      <c r="Q346" s="4758"/>
      <c r="R346" s="1971" t="s">
        <v>102</v>
      </c>
      <c r="S346" s="1972" t="str">
        <f>$K346</f>
        <v>12.1.1.1.3.2</v>
      </c>
      <c r="T346" s="1973" t="s">
        <v>660</v>
      </c>
      <c r="U346" s="1974"/>
      <c r="V346" s="1975"/>
      <c r="W346" s="1975"/>
      <c r="X346" s="1976"/>
      <c r="Y346" s="4762"/>
      <c r="Z346" s="4608" t="s">
        <v>65</v>
      </c>
      <c r="AA346" s="4762"/>
      <c r="AB346" s="4608" t="s">
        <v>65</v>
      </c>
      <c r="AC346" s="1975">
        <v>54.64</v>
      </c>
      <c r="AD346" s="1975"/>
      <c r="AE346" s="1976"/>
      <c r="AF346" s="4762">
        <v>45474</v>
      </c>
      <c r="AG346" s="4608" t="s">
        <v>65</v>
      </c>
      <c r="AH346" s="4781">
        <v>45657</v>
      </c>
      <c r="AI346" s="4608" t="s">
        <v>65</v>
      </c>
      <c r="AJ346" s="1977"/>
      <c r="AK3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6" s="1978" t="e">
        <f ca="1">STRCHECKDATE(V347:AJ347)</f>
        <v>#NAME?</v>
      </c>
      <c r="AM346" s="1979"/>
      <c r="AN346" s="1979" t="str">
        <f t="shared" si="5"/>
        <v>Потребители, кроме населения (без учета НДС)</v>
      </c>
      <c r="AO346" s="1979"/>
      <c r="AP346" s="1979"/>
    </row>
    <row r="347" spans="1:42" s="3296" customFormat="1" ht="14.25" customHeight="1">
      <c r="A347" s="1967"/>
      <c r="B347" s="1967"/>
      <c r="C347" s="1967"/>
      <c r="D347" s="1967"/>
      <c r="E347" s="4760"/>
      <c r="F347" s="4760"/>
      <c r="G347" s="4760"/>
      <c r="H347" s="4760"/>
      <c r="I347" s="4780"/>
      <c r="J347" s="4780"/>
      <c r="K347" s="4757" t="str">
        <f>J343&amp;".1"</f>
        <v>12.1.1.1.3.1</v>
      </c>
      <c r="L347" s="1968"/>
      <c r="M347" s="1969"/>
      <c r="N347" s="1969"/>
      <c r="O347" s="1969"/>
      <c r="P347" s="4758"/>
      <c r="Q347" s="4758"/>
      <c r="R347" s="1981"/>
      <c r="S347" s="1982"/>
      <c r="T347" s="1974"/>
      <c r="U347" s="1974"/>
      <c r="V347" s="1983"/>
      <c r="W347" s="1983"/>
      <c r="X347" s="1984" t="str">
        <f>Y346&amp;"-"&amp;AA346</f>
        <v>-</v>
      </c>
      <c r="Y347" s="4763"/>
      <c r="Z347" s="4608"/>
      <c r="AA347" s="4763"/>
      <c r="AB347" s="4608"/>
      <c r="AC347" s="1983"/>
      <c r="AD347" s="1983"/>
      <c r="AE347" s="1984" t="str">
        <f>AF346&amp;"-"&amp;AH346</f>
        <v>45474-45657</v>
      </c>
      <c r="AF347" s="4763"/>
      <c r="AG347" s="4608"/>
      <c r="AH347" s="4782"/>
      <c r="AI347" s="4608"/>
      <c r="AJ347" s="1985"/>
      <c r="AK347" s="4817"/>
      <c r="AL347" s="1978"/>
      <c r="AM347" s="1979"/>
      <c r="AN347" s="1979" t="str">
        <f t="shared" si="5"/>
        <v/>
      </c>
      <c r="AO347" s="1979"/>
      <c r="AP347" s="1979"/>
    </row>
    <row r="348" spans="1:42" s="3297" customFormat="1" ht="21" customHeight="1">
      <c r="A348" s="1967"/>
      <c r="B348" s="1967"/>
      <c r="C348" s="1967"/>
      <c r="D348" s="1967"/>
      <c r="E348" s="4760"/>
      <c r="F348" s="4760"/>
      <c r="G348" s="4760"/>
      <c r="H348" s="4760"/>
      <c r="I348" s="4780"/>
      <c r="J348" s="4757" t="str">
        <f>I330&amp;".2"</f>
        <v>12.1.1.1.2</v>
      </c>
      <c r="K348" s="1967"/>
      <c r="L348" s="1968"/>
      <c r="M348" s="1969"/>
      <c r="N348" s="1969"/>
      <c r="O348" s="1969"/>
      <c r="P348" s="4758"/>
      <c r="Q348" s="4758"/>
      <c r="R348" s="1994"/>
      <c r="S348" s="3298"/>
      <c r="T348" s="3299" t="s">
        <v>624</v>
      </c>
      <c r="U348" s="3300"/>
      <c r="V348" s="3301"/>
      <c r="W348" s="3302"/>
      <c r="X348" s="3303"/>
      <c r="Y348" s="3304"/>
      <c r="Z348" s="3305"/>
      <c r="AA348" s="3306"/>
      <c r="AB348" s="3307"/>
      <c r="AC348" s="3308"/>
      <c r="AD348" s="3309"/>
      <c r="AE348" s="3310"/>
      <c r="AF348" s="3311"/>
      <c r="AG348" s="3312"/>
      <c r="AH348" s="3313"/>
      <c r="AI348" s="3314"/>
      <c r="AJ348" s="3315"/>
      <c r="AK348" s="2013" t="s">
        <v>625</v>
      </c>
      <c r="AL348" s="1978"/>
      <c r="AM348" s="1979"/>
      <c r="AN348" s="1979" t="str">
        <f t="shared" si="5"/>
        <v>Добавить значение признака дифференциации</v>
      </c>
      <c r="AO348" s="1979"/>
      <c r="AP348" s="1979"/>
    </row>
    <row r="349" spans="1:42" s="3316" customFormat="1" ht="21" customHeight="1">
      <c r="A349" s="1967"/>
      <c r="B349" s="1967"/>
      <c r="C349" s="1967"/>
      <c r="D349" s="1967"/>
      <c r="E349" s="4760" t="s">
        <v>162</v>
      </c>
      <c r="F349" s="4760"/>
      <c r="G349" s="4760"/>
      <c r="H349" s="4760"/>
      <c r="I349" s="4757"/>
      <c r="J349" s="1967"/>
      <c r="K349" s="1967"/>
      <c r="L349" s="1968"/>
      <c r="M349" s="1969"/>
      <c r="N349" s="1969"/>
      <c r="O349" s="1969"/>
      <c r="P349" s="4758"/>
      <c r="Q349" s="1970"/>
      <c r="R349" s="1994"/>
      <c r="S349" s="3317"/>
      <c r="T349" s="3318" t="s">
        <v>553</v>
      </c>
      <c r="U349" s="3319"/>
      <c r="V349" s="3320"/>
      <c r="W349" s="3321"/>
      <c r="X349" s="3322"/>
      <c r="Y349" s="3323"/>
      <c r="Z349" s="3324"/>
      <c r="AA349" s="3325"/>
      <c r="AB349" s="3326"/>
      <c r="AC349" s="3327"/>
      <c r="AD349" s="3328"/>
      <c r="AE349" s="3329"/>
      <c r="AF349" s="3330"/>
      <c r="AG349" s="3331"/>
      <c r="AH349" s="3332"/>
      <c r="AI349" s="3333"/>
      <c r="AJ349" s="3334"/>
      <c r="AK349" s="3335"/>
      <c r="AL349" s="1978"/>
      <c r="AM349" s="1979"/>
      <c r="AN349" s="1979" t="str">
        <f t="shared" si="5"/>
        <v>Добавить группу потребителей</v>
      </c>
      <c r="AO349" s="1979"/>
      <c r="AP349" s="1979"/>
    </row>
    <row r="350" spans="1:42" s="3336" customFormat="1" ht="21" customHeight="1">
      <c r="A350" s="1967"/>
      <c r="B350" s="1967"/>
      <c r="C350" s="1967"/>
      <c r="D350" s="1967"/>
      <c r="E350" s="4760" t="s">
        <v>162</v>
      </c>
      <c r="F350" s="4760"/>
      <c r="G350" s="4760"/>
      <c r="H350" s="4759"/>
      <c r="I350" s="1967"/>
      <c r="J350" s="1967"/>
      <c r="K350" s="1967"/>
      <c r="L350" s="1968"/>
      <c r="M350" s="2039"/>
      <c r="N350" s="2039"/>
      <c r="O350" s="2147"/>
      <c r="P350" s="2041"/>
      <c r="Q350" s="2148"/>
      <c r="R350" s="2042"/>
      <c r="S350" s="3337"/>
      <c r="T350" s="3338" t="s">
        <v>626</v>
      </c>
      <c r="U350" s="3339"/>
      <c r="V350" s="3340"/>
      <c r="W350" s="3341"/>
      <c r="X350" s="3342"/>
      <c r="Y350" s="3343"/>
      <c r="Z350" s="3344"/>
      <c r="AA350" s="3345"/>
      <c r="AB350" s="3346"/>
      <c r="AC350" s="3347"/>
      <c r="AD350" s="3348"/>
      <c r="AE350" s="3349"/>
      <c r="AF350" s="3350"/>
      <c r="AG350" s="3351"/>
      <c r="AH350" s="3352"/>
      <c r="AI350" s="3353"/>
      <c r="AJ350" s="3354"/>
      <c r="AK350" s="3355"/>
      <c r="AL350" s="1978"/>
      <c r="AM350" s="1979"/>
      <c r="AN350" s="1979" t="str">
        <f t="shared" si="5"/>
        <v>Добавить наименование признака дифференциации</v>
      </c>
      <c r="AO350" s="1979"/>
      <c r="AP350" s="1979"/>
    </row>
    <row r="351" spans="1:42" s="3356" customFormat="1" ht="14.25" customHeight="1">
      <c r="A351" s="2169"/>
      <c r="B351" s="2169"/>
      <c r="C351" s="2169"/>
      <c r="D351" s="2169"/>
      <c r="E351" s="4760" t="s">
        <v>162</v>
      </c>
      <c r="F351" s="4759"/>
      <c r="G351" s="2169"/>
      <c r="H351" s="2169"/>
      <c r="I351" s="2169"/>
      <c r="J351" s="2169"/>
      <c r="K351" s="2169"/>
      <c r="L351" s="2170"/>
      <c r="M351" s="2171"/>
      <c r="N351" s="2171"/>
      <c r="O351" s="1978"/>
      <c r="P351" s="2172"/>
      <c r="Q351" s="2173"/>
      <c r="R351" s="2172"/>
      <c r="S351" s="2174"/>
      <c r="T351" s="2175" t="s">
        <v>316</v>
      </c>
      <c r="U351" s="2176"/>
      <c r="V351" s="2176"/>
      <c r="W351" s="2176"/>
      <c r="X351" s="2176"/>
      <c r="Y351" s="2176"/>
      <c r="Z351" s="2176"/>
      <c r="AA351" s="2176"/>
      <c r="AB351" s="2176"/>
      <c r="AC351" s="2176"/>
      <c r="AD351" s="2176"/>
      <c r="AE351" s="2176"/>
      <c r="AF351" s="2176"/>
      <c r="AG351" s="2176"/>
      <c r="AH351" s="2176"/>
      <c r="AI351" s="2176"/>
      <c r="AJ351" s="2176"/>
      <c r="AK351" s="2176"/>
      <c r="AL351" s="1978"/>
      <c r="AM351" s="1979"/>
      <c r="AN351" s="1979" t="str">
        <f t="shared" si="5"/>
        <v>Добавить централизованную систему для дифференциации</v>
      </c>
      <c r="AO351" s="1979"/>
      <c r="AP351" s="1979"/>
    </row>
    <row r="352" spans="1:42" s="3357" customFormat="1" ht="14.25" customHeight="1">
      <c r="A352" s="2169"/>
      <c r="B352" s="2169"/>
      <c r="C352" s="2169"/>
      <c r="D352" s="2169"/>
      <c r="E352" s="4759" t="s">
        <v>162</v>
      </c>
      <c r="F352" s="2169"/>
      <c r="G352" s="2169"/>
      <c r="H352" s="2169"/>
      <c r="I352" s="2169"/>
      <c r="J352" s="2169"/>
      <c r="K352" s="2169"/>
      <c r="L352" s="2170"/>
      <c r="M352" s="2171"/>
      <c r="N352" s="2171"/>
      <c r="O352" s="1978"/>
      <c r="P352" s="2172"/>
      <c r="Q352" s="2173"/>
      <c r="R352" s="2172"/>
      <c r="S352" s="2174"/>
      <c r="T352" s="2175" t="s">
        <v>317</v>
      </c>
      <c r="U352" s="2176"/>
      <c r="V352" s="2176"/>
      <c r="W352" s="2176"/>
      <c r="X352" s="2176"/>
      <c r="Y352" s="2176"/>
      <c r="Z352" s="2176"/>
      <c r="AA352" s="2176"/>
      <c r="AB352" s="2176"/>
      <c r="AC352" s="2176"/>
      <c r="AD352" s="2176"/>
      <c r="AE352" s="2176"/>
      <c r="AF352" s="2176"/>
      <c r="AG352" s="2176"/>
      <c r="AH352" s="2176"/>
      <c r="AI352" s="2176"/>
      <c r="AJ352" s="2176"/>
      <c r="AK352" s="2176"/>
      <c r="AL352" s="1978"/>
      <c r="AM352" s="1979"/>
      <c r="AN352" s="1979" t="str">
        <f t="shared" si="5"/>
        <v>Добавить территорию для дифференциации</v>
      </c>
      <c r="AO352" s="1979"/>
      <c r="AP352" s="1979"/>
    </row>
    <row r="353" spans="1:42" s="3358" customFormat="1" ht="23.25" customHeight="1">
      <c r="A353" s="1967" t="s">
        <v>374</v>
      </c>
      <c r="B353" s="1967"/>
      <c r="C353" s="1967"/>
      <c r="D353" s="1967"/>
      <c r="E353" s="4759" t="s">
        <v>211</v>
      </c>
      <c r="F353" s="1967"/>
      <c r="G353" s="1967"/>
      <c r="H353" s="1967"/>
      <c r="I353" s="1967"/>
      <c r="J353" s="1967"/>
      <c r="K353" s="1967"/>
      <c r="L353" s="1968"/>
      <c r="M353" s="2039"/>
      <c r="N353" s="2039"/>
      <c r="O353" s="2039"/>
      <c r="P353" s="2040"/>
      <c r="Q353" s="2041"/>
      <c r="R353" s="2042"/>
      <c r="S353" s="1972" t="str">
        <f>INDEX(PT_DIFFERENTIATION_NUM_NTAR,MATCH(A353,PT_DIFFERENTIATION_NTAR_ID,0))</f>
        <v>13</v>
      </c>
      <c r="T353" s="2043" t="s">
        <v>185</v>
      </c>
      <c r="U353" s="1974"/>
      <c r="V353" s="4745"/>
      <c r="W353" s="4746"/>
      <c r="X353" s="4746"/>
      <c r="Y353" s="4746"/>
      <c r="Z353" s="4746"/>
      <c r="AA353" s="4746"/>
      <c r="AB353" s="4747"/>
      <c r="AC353" s="4745" t="str">
        <f>INDEX(PT_DIFFERENTIATION_NTAR,MATCH(A353,PT_DIFFERENTIATION_NTAR_ID,0))</f>
        <v>С использованием централизованной системы водоотведения на территории села Криуши МО "Город Новоульяновск" Ульяновской области</v>
      </c>
      <c r="AD353" s="4746"/>
      <c r="AE353" s="4746"/>
      <c r="AF353" s="4746"/>
      <c r="AG353" s="4746"/>
      <c r="AH353" s="4746"/>
      <c r="AI353" s="4746"/>
      <c r="AJ353" s="4747"/>
      <c r="AK353"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53" s="1978"/>
      <c r="AM353" s="1979"/>
      <c r="AN353" s="1979" t="str">
        <f t="shared" si="5"/>
        <v>Наименование тарифа</v>
      </c>
      <c r="AO353" s="1979"/>
      <c r="AP353" s="1979"/>
    </row>
    <row r="354" spans="1:42" s="3359" customFormat="1" ht="23.25" customHeight="1">
      <c r="A354" s="1967"/>
      <c r="B354" s="1967" t="s">
        <v>375</v>
      </c>
      <c r="C354" s="1967"/>
      <c r="D354" s="1967"/>
      <c r="E354" s="4760" t="s">
        <v>210</v>
      </c>
      <c r="F354" s="4759">
        <v>1</v>
      </c>
      <c r="G354" s="1967"/>
      <c r="H354" s="1967"/>
      <c r="I354" s="1967"/>
      <c r="J354" s="1967"/>
      <c r="K354" s="1967"/>
      <c r="L354" s="1968"/>
      <c r="M354" s="2039"/>
      <c r="N354" s="2039"/>
      <c r="O354" s="2039"/>
      <c r="P354" s="2045"/>
      <c r="Q354" s="2046"/>
      <c r="R354" s="2047"/>
      <c r="S354" s="1972" t="str">
        <f>INDEX(PT_DIFFERENTIATION_NUM_TER,MATCH(B354,PT_DIFFERENTIATION_TER_ID,0))</f>
        <v>13.1</v>
      </c>
      <c r="T354" s="2048" t="s">
        <v>538</v>
      </c>
      <c r="U354" s="1974"/>
      <c r="V354" s="4745"/>
      <c r="W354" s="4746"/>
      <c r="X354" s="4746"/>
      <c r="Y354" s="4746"/>
      <c r="Z354" s="4746"/>
      <c r="AA354" s="4746"/>
      <c r="AB354" s="4747"/>
      <c r="AC354" s="4745" t="str">
        <f>INDEX(PT_DIFFERENTIATION_TER,MATCH(B354,PT_DIFFERENTIATION_TER_ID,0))</f>
        <v>Территория 8</v>
      </c>
      <c r="AD354" s="4746"/>
      <c r="AE354" s="4746"/>
      <c r="AF354" s="4746"/>
      <c r="AG354" s="4746"/>
      <c r="AH354" s="4746"/>
      <c r="AI354" s="4746"/>
      <c r="AJ354" s="4747"/>
      <c r="AK354" s="2013" t="s">
        <v>539</v>
      </c>
      <c r="AL354" s="1978"/>
      <c r="AM354" s="1979"/>
      <c r="AN354" s="1979" t="str">
        <f t="shared" si="5"/>
        <v>Территория действия тарифа</v>
      </c>
      <c r="AO354" s="1979"/>
      <c r="AP354" s="1979"/>
    </row>
    <row r="355" spans="1:42" s="3360" customFormat="1" ht="23.25" customHeight="1">
      <c r="A355" s="1967"/>
      <c r="B355" s="1967"/>
      <c r="C355" s="1967" t="s">
        <v>376</v>
      </c>
      <c r="D355" s="1967"/>
      <c r="E355" s="4760" t="s">
        <v>210</v>
      </c>
      <c r="F355" s="4760"/>
      <c r="G355" s="4759">
        <v>1</v>
      </c>
      <c r="H355" s="1967"/>
      <c r="I355" s="1967"/>
      <c r="J355" s="1967"/>
      <c r="K355" s="1967"/>
      <c r="L355" s="1968"/>
      <c r="M355" s="2039"/>
      <c r="N355" s="2039"/>
      <c r="O355" s="2039"/>
      <c r="P355" s="2050"/>
      <c r="Q355" s="2046"/>
      <c r="R355" s="2047"/>
      <c r="S355" s="1972" t="str">
        <f>INDEX(PT_DIFFERENTIATION_NUM_CS,MATCH(C355,PT_DIFFERENTIATION_CS_ID,0))</f>
        <v>13.1.1</v>
      </c>
      <c r="T355" s="2051" t="s">
        <v>652</v>
      </c>
      <c r="U355" s="1974"/>
      <c r="V355" s="4745"/>
      <c r="W355" s="4746"/>
      <c r="X355" s="4746"/>
      <c r="Y355" s="4746"/>
      <c r="Z355" s="4746"/>
      <c r="AA355" s="4746"/>
      <c r="AB355" s="4747"/>
      <c r="AC355" s="4745" t="str">
        <f>INDEX(PT_DIFFERENTIATION_CS,MATCH(C355,PT_DIFFERENTIATION_CS_ID,0))</f>
        <v>без дифференциации</v>
      </c>
      <c r="AD355" s="4746"/>
      <c r="AE355" s="4746"/>
      <c r="AF355" s="4746"/>
      <c r="AG355" s="4746"/>
      <c r="AH355" s="4746"/>
      <c r="AI355" s="4746"/>
      <c r="AJ355" s="4747"/>
      <c r="AK355" s="2013" t="s">
        <v>653</v>
      </c>
      <c r="AL355" s="1978"/>
      <c r="AM355" s="1979"/>
      <c r="AN355" s="1979" t="str">
        <f t="shared" si="5"/>
        <v>Наименование централизованной системы водоотведения</v>
      </c>
      <c r="AO355" s="1979"/>
      <c r="AP355" s="1979"/>
    </row>
    <row r="356" spans="1:42" s="3361" customFormat="1" ht="23.25" customHeight="1">
      <c r="A356" s="1967"/>
      <c r="B356" s="1967"/>
      <c r="C356" s="1967"/>
      <c r="D356" s="1967"/>
      <c r="E356" s="4760" t="s">
        <v>210</v>
      </c>
      <c r="F356" s="4760"/>
      <c r="G356" s="4760"/>
      <c r="H356" s="4760"/>
      <c r="I356" s="4757" t="str">
        <f>S355&amp;".1"</f>
        <v>13.1.1.1</v>
      </c>
      <c r="J356" s="1967"/>
      <c r="K356" s="1967"/>
      <c r="L356" s="1968"/>
      <c r="M356" s="1969"/>
      <c r="N356" s="1969"/>
      <c r="O356" s="1969"/>
      <c r="P356" s="4758">
        <v>1</v>
      </c>
      <c r="Q356" s="1970"/>
      <c r="R356" s="1994"/>
      <c r="S356" s="1972" t="str">
        <f>$I356</f>
        <v>13.1.1.1</v>
      </c>
      <c r="T356" s="2053" t="s">
        <v>621</v>
      </c>
      <c r="U356" s="1974"/>
      <c r="V356" s="4818"/>
      <c r="W356" s="4819"/>
      <c r="X356" s="4819"/>
      <c r="Y356" s="4819"/>
      <c r="Z356" s="4819"/>
      <c r="AA356" s="4819"/>
      <c r="AB356" s="4820"/>
      <c r="AC356" s="4821"/>
      <c r="AD356" s="4822"/>
      <c r="AE356" s="4822"/>
      <c r="AF356" s="4822"/>
      <c r="AG356" s="4822"/>
      <c r="AH356" s="4822"/>
      <c r="AI356" s="4822"/>
      <c r="AJ356" s="4823"/>
      <c r="AK356" s="2013" t="s">
        <v>622</v>
      </c>
      <c r="AL356" s="1978"/>
      <c r="AM356" s="1979"/>
      <c r="AN356" s="1979" t="str">
        <f t="shared" si="5"/>
        <v>Наименование признака дифференциации</v>
      </c>
      <c r="AO356" s="1979"/>
      <c r="AP356" s="1979"/>
    </row>
    <row r="357" spans="1:42" s="3362" customFormat="1" ht="23.25" customHeight="1">
      <c r="A357" s="1967"/>
      <c r="B357" s="1967"/>
      <c r="C357" s="1967"/>
      <c r="D357" s="1967"/>
      <c r="E357" s="4760" t="s">
        <v>210</v>
      </c>
      <c r="F357" s="4760"/>
      <c r="G357" s="4760"/>
      <c r="H357" s="4760"/>
      <c r="I357" s="4780"/>
      <c r="J357" s="4757" t="str">
        <f>I356&amp;".1"</f>
        <v>13.1.1.1.1</v>
      </c>
      <c r="K357" s="1967"/>
      <c r="L357" s="1968" t="s">
        <v>547</v>
      </c>
      <c r="M357" s="1969"/>
      <c r="N357" s="1969"/>
      <c r="O357" s="1969"/>
      <c r="P357" s="4758"/>
      <c r="Q357" s="4758">
        <v>1</v>
      </c>
      <c r="R357" s="1981"/>
      <c r="S357" s="1972" t="str">
        <f>$J357</f>
        <v>13.1.1.1.1</v>
      </c>
      <c r="T357" s="1987" t="s">
        <v>548</v>
      </c>
      <c r="U357" s="1974"/>
      <c r="V357" s="4748"/>
      <c r="W357" s="4749"/>
      <c r="X357" s="4749"/>
      <c r="Y357" s="4749"/>
      <c r="Z357" s="4749"/>
      <c r="AA357" s="4749"/>
      <c r="AB357" s="4750"/>
      <c r="AC357" s="4748" t="s">
        <v>657</v>
      </c>
      <c r="AD357" s="4749"/>
      <c r="AE357" s="4749"/>
      <c r="AF357" s="4749"/>
      <c r="AG357" s="4749"/>
      <c r="AH357" s="4749"/>
      <c r="AI357" s="4749"/>
      <c r="AJ357" s="4750"/>
      <c r="AK357" s="1988" t="s">
        <v>623</v>
      </c>
      <c r="AL357" s="1978"/>
      <c r="AM357" s="1979"/>
      <c r="AN357" s="1979" t="str">
        <f t="shared" si="5"/>
        <v>Группа потребителей</v>
      </c>
      <c r="AO357" s="1979"/>
      <c r="AP357" s="1979"/>
    </row>
    <row r="358" spans="1:42" s="3363" customFormat="1" ht="23.25" customHeight="1">
      <c r="A358" s="1967"/>
      <c r="B358" s="1967"/>
      <c r="C358" s="1967"/>
      <c r="D358" s="1967"/>
      <c r="E358" s="4760" t="s">
        <v>210</v>
      </c>
      <c r="F358" s="4760"/>
      <c r="G358" s="4760"/>
      <c r="H358" s="4760"/>
      <c r="I358" s="4780"/>
      <c r="J358" s="4780"/>
      <c r="K358" s="4757" t="str">
        <f>J357&amp;".1"</f>
        <v>13.1.1.1.1.1</v>
      </c>
      <c r="L358" s="1968"/>
      <c r="M358" s="1969"/>
      <c r="N358" s="1969"/>
      <c r="O358" s="1969"/>
      <c r="P358" s="4758"/>
      <c r="Q358" s="4758"/>
      <c r="R358" s="1981">
        <v>1</v>
      </c>
      <c r="S358" s="1972" t="str">
        <f>$K358</f>
        <v>13.1.1.1.1.1</v>
      </c>
      <c r="T358" s="1973" t="s">
        <v>658</v>
      </c>
      <c r="U358" s="1974"/>
      <c r="V358" s="1975"/>
      <c r="W358" s="1975"/>
      <c r="X358" s="1976"/>
      <c r="Y358" s="4762"/>
      <c r="Z358" s="4608" t="s">
        <v>65</v>
      </c>
      <c r="AA358" s="4762"/>
      <c r="AB358" s="4608" t="s">
        <v>65</v>
      </c>
      <c r="AC358" s="1975">
        <v>31.55</v>
      </c>
      <c r="AD358" s="1975"/>
      <c r="AE358" s="1976"/>
      <c r="AF358" s="4762">
        <v>45292</v>
      </c>
      <c r="AG358" s="4608" t="s">
        <v>65</v>
      </c>
      <c r="AH358" s="4781">
        <v>45473</v>
      </c>
      <c r="AI358" s="4608" t="s">
        <v>65</v>
      </c>
      <c r="AJ358" s="1977"/>
      <c r="AK35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8" s="1978" t="e">
        <f ca="1">STRCHECKDATE(V359:AJ359)</f>
        <v>#NAME?</v>
      </c>
      <c r="AM358" s="1979"/>
      <c r="AN358" s="1979" t="str">
        <f t="shared" si="5"/>
        <v>Население (с учетом НДС)</v>
      </c>
      <c r="AO358" s="1979"/>
      <c r="AP358" s="1979"/>
    </row>
    <row r="359" spans="1:42" s="3364" customFormat="1" ht="14.25" customHeight="1">
      <c r="A359" s="1967"/>
      <c r="B359" s="1967"/>
      <c r="C359" s="1967"/>
      <c r="D359" s="1967"/>
      <c r="E359" s="4760" t="s">
        <v>210</v>
      </c>
      <c r="F359" s="4760"/>
      <c r="G359" s="4760"/>
      <c r="H359" s="4760"/>
      <c r="I359" s="4780"/>
      <c r="J359" s="4780"/>
      <c r="K359" s="4757"/>
      <c r="L359" s="1968"/>
      <c r="M359" s="1969"/>
      <c r="N359" s="1969"/>
      <c r="O359" s="1969"/>
      <c r="P359" s="4758"/>
      <c r="Q359" s="4758"/>
      <c r="R359" s="1981"/>
      <c r="S359" s="1982"/>
      <c r="T359" s="1974"/>
      <c r="U359" s="1974"/>
      <c r="V359" s="1983"/>
      <c r="W359" s="1983"/>
      <c r="X359" s="1984" t="str">
        <f>Y358&amp;"-"&amp;AA358</f>
        <v>-</v>
      </c>
      <c r="Y359" s="4763"/>
      <c r="Z359" s="4608"/>
      <c r="AA359" s="4763"/>
      <c r="AB359" s="4608"/>
      <c r="AC359" s="1983"/>
      <c r="AD359" s="1983"/>
      <c r="AE359" s="1984" t="str">
        <f>AF358&amp;"-"&amp;AH358</f>
        <v>45292-45473</v>
      </c>
      <c r="AF359" s="4763"/>
      <c r="AG359" s="4608"/>
      <c r="AH359" s="4782"/>
      <c r="AI359" s="4608"/>
      <c r="AJ359" s="1985"/>
      <c r="AK359" s="4817"/>
      <c r="AL359" s="1978"/>
      <c r="AM359" s="1979"/>
      <c r="AN359" s="1979" t="str">
        <f t="shared" si="5"/>
        <v/>
      </c>
      <c r="AO359" s="1979"/>
      <c r="AP359" s="1979"/>
    </row>
    <row r="360" spans="1:42" s="3365" customFormat="1" ht="23.25" customHeight="1">
      <c r="A360" s="1967"/>
      <c r="B360" s="1967"/>
      <c r="C360" s="1967"/>
      <c r="D360" s="1967"/>
      <c r="E360" s="4760"/>
      <c r="F360" s="4760"/>
      <c r="G360" s="4760"/>
      <c r="H360" s="4760"/>
      <c r="I360" s="4780"/>
      <c r="J360" s="4780"/>
      <c r="K360" s="4757" t="str">
        <f>J357&amp;".2"</f>
        <v>13.1.1.1.1.2</v>
      </c>
      <c r="L360" s="1968"/>
      <c r="M360" s="1969"/>
      <c r="N360" s="1969"/>
      <c r="O360" s="1969"/>
      <c r="P360" s="4758"/>
      <c r="Q360" s="4758"/>
      <c r="R360" s="1971" t="s">
        <v>102</v>
      </c>
      <c r="S360" s="1972" t="str">
        <f>$K360</f>
        <v>13.1.1.1.1.2</v>
      </c>
      <c r="T360" s="1973" t="s">
        <v>658</v>
      </c>
      <c r="U360" s="1974"/>
      <c r="V360" s="1975"/>
      <c r="W360" s="1975"/>
      <c r="X360" s="1976"/>
      <c r="Y360" s="4762"/>
      <c r="Z360" s="4608" t="s">
        <v>65</v>
      </c>
      <c r="AA360" s="4762"/>
      <c r="AB360" s="4608" t="s">
        <v>65</v>
      </c>
      <c r="AC360" s="1975">
        <v>34.380000000000003</v>
      </c>
      <c r="AD360" s="1975"/>
      <c r="AE360" s="1976"/>
      <c r="AF360" s="4762">
        <v>45474</v>
      </c>
      <c r="AG360" s="4608" t="s">
        <v>65</v>
      </c>
      <c r="AH360" s="4781">
        <v>45657</v>
      </c>
      <c r="AI360" s="4608" t="s">
        <v>65</v>
      </c>
      <c r="AJ360" s="1977"/>
      <c r="AK36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0" s="1978" t="e">
        <f ca="1">STRCHECKDATE(V361:AJ361)</f>
        <v>#NAME?</v>
      </c>
      <c r="AM360" s="1979"/>
      <c r="AN360" s="1979" t="str">
        <f t="shared" si="5"/>
        <v>Население (с учетом НДС)</v>
      </c>
      <c r="AO360" s="1979"/>
      <c r="AP360" s="1979"/>
    </row>
    <row r="361" spans="1:42" s="3366" customFormat="1" ht="14.25" customHeight="1">
      <c r="A361" s="1967"/>
      <c r="B361" s="1967"/>
      <c r="C361" s="1967"/>
      <c r="D361" s="1967"/>
      <c r="E361" s="4760"/>
      <c r="F361" s="4760"/>
      <c r="G361" s="4760"/>
      <c r="H361" s="4760"/>
      <c r="I361" s="4780"/>
      <c r="J361" s="4780"/>
      <c r="K361" s="4757" t="str">
        <f>J357&amp;".1"</f>
        <v>13.1.1.1.1.1</v>
      </c>
      <c r="L361" s="1968"/>
      <c r="M361" s="1969"/>
      <c r="N361" s="1969"/>
      <c r="O361" s="1969"/>
      <c r="P361" s="4758"/>
      <c r="Q361" s="4758"/>
      <c r="R361" s="1981"/>
      <c r="S361" s="1982"/>
      <c r="T361" s="1974"/>
      <c r="U361" s="1974"/>
      <c r="V361" s="1983"/>
      <c r="W361" s="1983"/>
      <c r="X361" s="1984" t="str">
        <f>Y360&amp;"-"&amp;AA360</f>
        <v>-</v>
      </c>
      <c r="Y361" s="4763"/>
      <c r="Z361" s="4608"/>
      <c r="AA361" s="4763"/>
      <c r="AB361" s="4608"/>
      <c r="AC361" s="1983"/>
      <c r="AD361" s="1983"/>
      <c r="AE361" s="1984" t="str">
        <f>AF360&amp;"-"&amp;AH360</f>
        <v>45474-45657</v>
      </c>
      <c r="AF361" s="4763"/>
      <c r="AG361" s="4608"/>
      <c r="AH361" s="4782"/>
      <c r="AI361" s="4608"/>
      <c r="AJ361" s="1985"/>
      <c r="AK361" s="4817"/>
      <c r="AL361" s="1978"/>
      <c r="AM361" s="1979"/>
      <c r="AN361" s="1979" t="str">
        <f t="shared" ref="AN361:AN424" si="6">IF(T361="","",T361)</f>
        <v/>
      </c>
      <c r="AO361" s="1979"/>
      <c r="AP361" s="1979"/>
    </row>
    <row r="362" spans="1:42" s="3367" customFormat="1" ht="21" customHeight="1">
      <c r="A362" s="1967"/>
      <c r="B362" s="1967"/>
      <c r="C362" s="1967"/>
      <c r="D362" s="1967"/>
      <c r="E362" s="4760" t="s">
        <v>210</v>
      </c>
      <c r="F362" s="4760"/>
      <c r="G362" s="4760"/>
      <c r="H362" s="4760"/>
      <c r="I362" s="4780"/>
      <c r="J362" s="4757"/>
      <c r="K362" s="1967"/>
      <c r="L362" s="1968"/>
      <c r="M362" s="1969"/>
      <c r="N362" s="1969"/>
      <c r="O362" s="1969"/>
      <c r="P362" s="4758"/>
      <c r="Q362" s="4758"/>
      <c r="R362" s="1994"/>
      <c r="S362" s="3368"/>
      <c r="T362" s="3369" t="s">
        <v>624</v>
      </c>
      <c r="U362" s="3370"/>
      <c r="V362" s="3371"/>
      <c r="W362" s="3372"/>
      <c r="X362" s="3373"/>
      <c r="Y362" s="3374"/>
      <c r="Z362" s="3375"/>
      <c r="AA362" s="3376"/>
      <c r="AB362" s="3377"/>
      <c r="AC362" s="3378"/>
      <c r="AD362" s="3379"/>
      <c r="AE362" s="3380"/>
      <c r="AF362" s="3381"/>
      <c r="AG362" s="3382"/>
      <c r="AH362" s="3383"/>
      <c r="AI362" s="3384"/>
      <c r="AJ362" s="3385"/>
      <c r="AK362" s="2013" t="s">
        <v>625</v>
      </c>
      <c r="AL362" s="1978"/>
      <c r="AM362" s="1979"/>
      <c r="AN362" s="1979" t="str">
        <f t="shared" si="6"/>
        <v>Добавить значение признака дифференциации</v>
      </c>
      <c r="AO362" s="1979"/>
      <c r="AP362" s="1979"/>
    </row>
    <row r="363" spans="1:42" s="3386" customFormat="1" ht="23.25" customHeight="1">
      <c r="A363" s="1967"/>
      <c r="B363" s="1967"/>
      <c r="C363" s="1967"/>
      <c r="D363" s="1967"/>
      <c r="E363" s="4760"/>
      <c r="F363" s="4760"/>
      <c r="G363" s="4760"/>
      <c r="H363" s="4760"/>
      <c r="I363" s="4780"/>
      <c r="J363" s="4757" t="str">
        <f>I356&amp;".2"</f>
        <v>13.1.1.1.2</v>
      </c>
      <c r="K363" s="1967"/>
      <c r="L363" s="1968" t="s">
        <v>547</v>
      </c>
      <c r="M363" s="1969"/>
      <c r="N363" s="1969"/>
      <c r="O363" s="1969"/>
      <c r="P363" s="4758"/>
      <c r="Q363" s="4833" t="s">
        <v>102</v>
      </c>
      <c r="R363" s="1981"/>
      <c r="S363" s="1972" t="str">
        <f>$J363</f>
        <v>13.1.1.1.2</v>
      </c>
      <c r="T363" s="1987" t="s">
        <v>548</v>
      </c>
      <c r="U363" s="1974"/>
      <c r="V363" s="4748"/>
      <c r="W363" s="4749"/>
      <c r="X363" s="4749"/>
      <c r="Y363" s="4749"/>
      <c r="Z363" s="4749"/>
      <c r="AA363" s="4749"/>
      <c r="AB363" s="4750"/>
      <c r="AC363" s="4748" t="s">
        <v>659</v>
      </c>
      <c r="AD363" s="4749"/>
      <c r="AE363" s="4749"/>
      <c r="AF363" s="4749"/>
      <c r="AG363" s="4749"/>
      <c r="AH363" s="4749"/>
      <c r="AI363" s="4749"/>
      <c r="AJ363" s="4750"/>
      <c r="AK363" s="1988" t="s">
        <v>623</v>
      </c>
      <c r="AL363" s="1978"/>
      <c r="AM363" s="1979"/>
      <c r="AN363" s="1979" t="str">
        <f t="shared" si="6"/>
        <v>Группа потребителей</v>
      </c>
      <c r="AO363" s="1979"/>
      <c r="AP363" s="1979"/>
    </row>
    <row r="364" spans="1:42" s="3387" customFormat="1" ht="23.25" customHeight="1">
      <c r="A364" s="1967"/>
      <c r="B364" s="1967"/>
      <c r="C364" s="1967"/>
      <c r="D364" s="1967"/>
      <c r="E364" s="4760"/>
      <c r="F364" s="4760"/>
      <c r="G364" s="4760"/>
      <c r="H364" s="4760"/>
      <c r="I364" s="4780"/>
      <c r="J364" s="4780" t="str">
        <f>I356&amp;".1"</f>
        <v>13.1.1.1.1</v>
      </c>
      <c r="K364" s="4757" t="str">
        <f>J363&amp;".1"</f>
        <v>13.1.1.1.2.1</v>
      </c>
      <c r="L364" s="1968"/>
      <c r="M364" s="1969"/>
      <c r="N364" s="1969"/>
      <c r="O364" s="1969"/>
      <c r="P364" s="4758"/>
      <c r="Q364" s="4758"/>
      <c r="R364" s="1981">
        <v>1</v>
      </c>
      <c r="S364" s="1972" t="str">
        <f>$K364</f>
        <v>13.1.1.1.2.1</v>
      </c>
      <c r="T364" s="1973" t="s">
        <v>660</v>
      </c>
      <c r="U364" s="1974"/>
      <c r="V364" s="1975"/>
      <c r="W364" s="1975"/>
      <c r="X364" s="1976"/>
      <c r="Y364" s="4762"/>
      <c r="Z364" s="4608" t="s">
        <v>65</v>
      </c>
      <c r="AA364" s="4762"/>
      <c r="AB364" s="4608" t="s">
        <v>65</v>
      </c>
      <c r="AC364" s="1975">
        <v>26.29</v>
      </c>
      <c r="AD364" s="1975"/>
      <c r="AE364" s="1976"/>
      <c r="AF364" s="4762">
        <v>45292</v>
      </c>
      <c r="AG364" s="4608" t="s">
        <v>65</v>
      </c>
      <c r="AH364" s="4781">
        <v>45473</v>
      </c>
      <c r="AI364" s="4608" t="s">
        <v>65</v>
      </c>
      <c r="AJ364" s="1977"/>
      <c r="AK36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4" s="1978" t="e">
        <f ca="1">STRCHECKDATE(V365:AJ365)</f>
        <v>#NAME?</v>
      </c>
      <c r="AM364" s="1979"/>
      <c r="AN364" s="1979" t="str">
        <f t="shared" si="6"/>
        <v>Потребители, кроме населения (без учета НДС)</v>
      </c>
      <c r="AO364" s="1979"/>
      <c r="AP364" s="1979"/>
    </row>
    <row r="365" spans="1:42" s="3388" customFormat="1" ht="14.25" customHeight="1">
      <c r="A365" s="1967"/>
      <c r="B365" s="1967"/>
      <c r="C365" s="1967"/>
      <c r="D365" s="1967"/>
      <c r="E365" s="4760"/>
      <c r="F365" s="4760"/>
      <c r="G365" s="4760"/>
      <c r="H365" s="4760"/>
      <c r="I365" s="4780"/>
      <c r="J365" s="4780" t="str">
        <f>I356&amp;".1"</f>
        <v>13.1.1.1.1</v>
      </c>
      <c r="K365" s="4757"/>
      <c r="L365" s="1968"/>
      <c r="M365" s="1969"/>
      <c r="N365" s="1969"/>
      <c r="O365" s="1969"/>
      <c r="P365" s="4758"/>
      <c r="Q365" s="4758"/>
      <c r="R365" s="1981"/>
      <c r="S365" s="1982"/>
      <c r="T365" s="1974"/>
      <c r="U365" s="1974"/>
      <c r="V365" s="1983"/>
      <c r="W365" s="1983"/>
      <c r="X365" s="1984" t="str">
        <f>Y364&amp;"-"&amp;AA364</f>
        <v>-</v>
      </c>
      <c r="Y365" s="4763"/>
      <c r="Z365" s="4608"/>
      <c r="AA365" s="4763"/>
      <c r="AB365" s="4608"/>
      <c r="AC365" s="1983"/>
      <c r="AD365" s="1983"/>
      <c r="AE365" s="1984" t="str">
        <f>AF364&amp;"-"&amp;AH364</f>
        <v>45292-45473</v>
      </c>
      <c r="AF365" s="4763"/>
      <c r="AG365" s="4608"/>
      <c r="AH365" s="4782"/>
      <c r="AI365" s="4608"/>
      <c r="AJ365" s="1985"/>
      <c r="AK365" s="4817"/>
      <c r="AL365" s="1978"/>
      <c r="AM365" s="1979"/>
      <c r="AN365" s="1979" t="str">
        <f t="shared" si="6"/>
        <v/>
      </c>
      <c r="AO365" s="1979"/>
      <c r="AP365" s="1979"/>
    </row>
    <row r="366" spans="1:42" s="3389" customFormat="1" ht="23.25" customHeight="1">
      <c r="A366" s="1967"/>
      <c r="B366" s="1967"/>
      <c r="C366" s="1967"/>
      <c r="D366" s="1967"/>
      <c r="E366" s="4760"/>
      <c r="F366" s="4760"/>
      <c r="G366" s="4760"/>
      <c r="H366" s="4760"/>
      <c r="I366" s="4780"/>
      <c r="J366" s="4780"/>
      <c r="K366" s="4757" t="str">
        <f>J363&amp;".2"</f>
        <v>13.1.1.1.2.2</v>
      </c>
      <c r="L366" s="1968"/>
      <c r="M366" s="1969"/>
      <c r="N366" s="1969"/>
      <c r="O366" s="1969"/>
      <c r="P366" s="4758"/>
      <c r="Q366" s="4758"/>
      <c r="R366" s="1971" t="s">
        <v>102</v>
      </c>
      <c r="S366" s="1972" t="str">
        <f>$K366</f>
        <v>13.1.1.1.2.2</v>
      </c>
      <c r="T366" s="1973" t="s">
        <v>660</v>
      </c>
      <c r="U366" s="1974"/>
      <c r="V366" s="1975"/>
      <c r="W366" s="1975"/>
      <c r="X366" s="1976"/>
      <c r="Y366" s="4762"/>
      <c r="Z366" s="4608" t="s">
        <v>65</v>
      </c>
      <c r="AA366" s="4762"/>
      <c r="AB366" s="4608" t="s">
        <v>65</v>
      </c>
      <c r="AC366" s="1975">
        <v>54.64</v>
      </c>
      <c r="AD366" s="1975"/>
      <c r="AE366" s="1976"/>
      <c r="AF366" s="4762">
        <v>45474</v>
      </c>
      <c r="AG366" s="4608" t="s">
        <v>65</v>
      </c>
      <c r="AH366" s="4781">
        <v>45657</v>
      </c>
      <c r="AI366" s="4608" t="s">
        <v>65</v>
      </c>
      <c r="AJ366" s="1977"/>
      <c r="AK36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6" s="1978" t="e">
        <f ca="1">STRCHECKDATE(V367:AJ367)</f>
        <v>#NAME?</v>
      </c>
      <c r="AM366" s="1979"/>
      <c r="AN366" s="1979" t="str">
        <f t="shared" si="6"/>
        <v>Потребители, кроме населения (без учета НДС)</v>
      </c>
      <c r="AO366" s="1979"/>
      <c r="AP366" s="1979"/>
    </row>
    <row r="367" spans="1:42" s="3390" customFormat="1" ht="14.25" customHeight="1">
      <c r="A367" s="1967"/>
      <c r="B367" s="1967"/>
      <c r="C367" s="1967"/>
      <c r="D367" s="1967"/>
      <c r="E367" s="4760"/>
      <c r="F367" s="4760"/>
      <c r="G367" s="4760"/>
      <c r="H367" s="4760"/>
      <c r="I367" s="4780"/>
      <c r="J367" s="4780"/>
      <c r="K367" s="4757" t="str">
        <f>J363&amp;".1"</f>
        <v>13.1.1.1.2.1</v>
      </c>
      <c r="L367" s="1968"/>
      <c r="M367" s="1969"/>
      <c r="N367" s="1969"/>
      <c r="O367" s="1969"/>
      <c r="P367" s="4758"/>
      <c r="Q367" s="4758"/>
      <c r="R367" s="1981"/>
      <c r="S367" s="1982"/>
      <c r="T367" s="1974"/>
      <c r="U367" s="1974"/>
      <c r="V367" s="1983"/>
      <c r="W367" s="1983"/>
      <c r="X367" s="1984" t="str">
        <f>Y366&amp;"-"&amp;AA366</f>
        <v>-</v>
      </c>
      <c r="Y367" s="4763"/>
      <c r="Z367" s="4608"/>
      <c r="AA367" s="4763"/>
      <c r="AB367" s="4608"/>
      <c r="AC367" s="1983"/>
      <c r="AD367" s="1983"/>
      <c r="AE367" s="1984" t="str">
        <f>AF366&amp;"-"&amp;AH366</f>
        <v>45474-45657</v>
      </c>
      <c r="AF367" s="4763"/>
      <c r="AG367" s="4608"/>
      <c r="AH367" s="4782"/>
      <c r="AI367" s="4608"/>
      <c r="AJ367" s="1985"/>
      <c r="AK367" s="4817"/>
      <c r="AL367" s="1978"/>
      <c r="AM367" s="1979"/>
      <c r="AN367" s="1979" t="str">
        <f t="shared" si="6"/>
        <v/>
      </c>
      <c r="AO367" s="1979"/>
      <c r="AP367" s="1979"/>
    </row>
    <row r="368" spans="1:42" s="3391" customFormat="1" ht="21" customHeight="1">
      <c r="A368" s="1967"/>
      <c r="B368" s="1967"/>
      <c r="C368" s="1967"/>
      <c r="D368" s="1967"/>
      <c r="E368" s="4760"/>
      <c r="F368" s="4760"/>
      <c r="G368" s="4760"/>
      <c r="H368" s="4760"/>
      <c r="I368" s="4780"/>
      <c r="J368" s="4757" t="str">
        <f>I356&amp;".1"</f>
        <v>13.1.1.1.1</v>
      </c>
      <c r="K368" s="1967"/>
      <c r="L368" s="1968"/>
      <c r="M368" s="1969"/>
      <c r="N368" s="1969"/>
      <c r="O368" s="1969"/>
      <c r="P368" s="4758"/>
      <c r="Q368" s="4758"/>
      <c r="R368" s="1994"/>
      <c r="S368" s="3392"/>
      <c r="T368" s="3393" t="s">
        <v>624</v>
      </c>
      <c r="U368" s="3394"/>
      <c r="V368" s="3395"/>
      <c r="W368" s="3396"/>
      <c r="X368" s="3397"/>
      <c r="Y368" s="3398"/>
      <c r="Z368" s="3399"/>
      <c r="AA368" s="3400"/>
      <c r="AB368" s="3401"/>
      <c r="AC368" s="3402"/>
      <c r="AD368" s="3403"/>
      <c r="AE368" s="3404"/>
      <c r="AF368" s="3405"/>
      <c r="AG368" s="3406"/>
      <c r="AH368" s="3407"/>
      <c r="AI368" s="3408"/>
      <c r="AJ368" s="3409"/>
      <c r="AK368" s="2013" t="s">
        <v>625</v>
      </c>
      <c r="AL368" s="1978"/>
      <c r="AM368" s="1979"/>
      <c r="AN368" s="1979" t="str">
        <f t="shared" si="6"/>
        <v>Добавить значение признака дифференциации</v>
      </c>
      <c r="AO368" s="1979"/>
      <c r="AP368" s="1979"/>
    </row>
    <row r="369" spans="1:42" s="3410" customFormat="1" ht="23.25" customHeight="1">
      <c r="A369" s="1967"/>
      <c r="B369" s="1967"/>
      <c r="C369" s="1967"/>
      <c r="D369" s="1967"/>
      <c r="E369" s="4760"/>
      <c r="F369" s="4760"/>
      <c r="G369" s="4760"/>
      <c r="H369" s="4760"/>
      <c r="I369" s="4780"/>
      <c r="J369" s="4757" t="str">
        <f>I356&amp;".3"</f>
        <v>13.1.1.1.3</v>
      </c>
      <c r="K369" s="1967"/>
      <c r="L369" s="1968" t="s">
        <v>547</v>
      </c>
      <c r="M369" s="1969"/>
      <c r="N369" s="1969"/>
      <c r="O369" s="1969"/>
      <c r="P369" s="4758"/>
      <c r="Q369" s="4833" t="s">
        <v>102</v>
      </c>
      <c r="R369" s="1981"/>
      <c r="S369" s="1972" t="str">
        <f>$J369</f>
        <v>13.1.1.1.3</v>
      </c>
      <c r="T369" s="1987" t="s">
        <v>548</v>
      </c>
      <c r="U369" s="1974"/>
      <c r="V369" s="4748"/>
      <c r="W369" s="4749"/>
      <c r="X369" s="4749"/>
      <c r="Y369" s="4749"/>
      <c r="Z369" s="4749"/>
      <c r="AA369" s="4749"/>
      <c r="AB369" s="4750"/>
      <c r="AC369" s="4748" t="s">
        <v>661</v>
      </c>
      <c r="AD369" s="4749"/>
      <c r="AE369" s="4749"/>
      <c r="AF369" s="4749"/>
      <c r="AG369" s="4749"/>
      <c r="AH369" s="4749"/>
      <c r="AI369" s="4749"/>
      <c r="AJ369" s="4750"/>
      <c r="AK369" s="1988" t="s">
        <v>623</v>
      </c>
      <c r="AL369" s="1978"/>
      <c r="AM369" s="1979"/>
      <c r="AN369" s="1979" t="str">
        <f t="shared" si="6"/>
        <v>Группа потребителей</v>
      </c>
      <c r="AO369" s="1979"/>
      <c r="AP369" s="1979"/>
    </row>
    <row r="370" spans="1:42" s="3411" customFormat="1" ht="23.25" customHeight="1">
      <c r="A370" s="1967"/>
      <c r="B370" s="1967"/>
      <c r="C370" s="1967"/>
      <c r="D370" s="1967"/>
      <c r="E370" s="4760"/>
      <c r="F370" s="4760"/>
      <c r="G370" s="4760"/>
      <c r="H370" s="4760"/>
      <c r="I370" s="4780"/>
      <c r="J370" s="4780" t="str">
        <f>I356&amp;".2"</f>
        <v>13.1.1.1.2</v>
      </c>
      <c r="K370" s="4757" t="str">
        <f>J369&amp;".1"</f>
        <v>13.1.1.1.3.1</v>
      </c>
      <c r="L370" s="1968"/>
      <c r="M370" s="1969"/>
      <c r="N370" s="1969"/>
      <c r="O370" s="1969"/>
      <c r="P370" s="4758"/>
      <c r="Q370" s="4758"/>
      <c r="R370" s="1981">
        <v>1</v>
      </c>
      <c r="S370" s="1972" t="str">
        <f>$K370</f>
        <v>13.1.1.1.3.1</v>
      </c>
      <c r="T370" s="1973" t="s">
        <v>660</v>
      </c>
      <c r="U370" s="1974"/>
      <c r="V370" s="1975"/>
      <c r="W370" s="1975"/>
      <c r="X370" s="1976"/>
      <c r="Y370" s="4762"/>
      <c r="Z370" s="4608" t="s">
        <v>65</v>
      </c>
      <c r="AA370" s="4762"/>
      <c r="AB370" s="4608" t="s">
        <v>65</v>
      </c>
      <c r="AC370" s="1975">
        <v>26.29</v>
      </c>
      <c r="AD370" s="1975"/>
      <c r="AE370" s="1976"/>
      <c r="AF370" s="4762">
        <v>45292</v>
      </c>
      <c r="AG370" s="4608" t="s">
        <v>65</v>
      </c>
      <c r="AH370" s="4781">
        <v>45473</v>
      </c>
      <c r="AI370" s="4608" t="s">
        <v>65</v>
      </c>
      <c r="AJ370" s="1977"/>
      <c r="AK37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0" s="1978" t="e">
        <f ca="1">STRCHECKDATE(V371:AJ371)</f>
        <v>#NAME?</v>
      </c>
      <c r="AM370" s="1979"/>
      <c r="AN370" s="1979" t="str">
        <f t="shared" si="6"/>
        <v>Потребители, кроме населения (без учета НДС)</v>
      </c>
      <c r="AO370" s="1979"/>
      <c r="AP370" s="1979"/>
    </row>
    <row r="371" spans="1:42" s="3412" customFormat="1" ht="14.25" customHeight="1">
      <c r="A371" s="1967"/>
      <c r="B371" s="1967"/>
      <c r="C371" s="1967"/>
      <c r="D371" s="1967"/>
      <c r="E371" s="4760"/>
      <c r="F371" s="4760"/>
      <c r="G371" s="4760"/>
      <c r="H371" s="4760"/>
      <c r="I371" s="4780"/>
      <c r="J371" s="4780" t="str">
        <f>I356&amp;".2"</f>
        <v>13.1.1.1.2</v>
      </c>
      <c r="K371" s="4757"/>
      <c r="L371" s="1968"/>
      <c r="M371" s="1969"/>
      <c r="N371" s="1969"/>
      <c r="O371" s="1969"/>
      <c r="P371" s="4758"/>
      <c r="Q371" s="4758"/>
      <c r="R371" s="1981"/>
      <c r="S371" s="1982"/>
      <c r="T371" s="1974"/>
      <c r="U371" s="1974"/>
      <c r="V371" s="1983"/>
      <c r="W371" s="1983"/>
      <c r="X371" s="1984" t="str">
        <f>Y370&amp;"-"&amp;AA370</f>
        <v>-</v>
      </c>
      <c r="Y371" s="4763"/>
      <c r="Z371" s="4608"/>
      <c r="AA371" s="4763"/>
      <c r="AB371" s="4608"/>
      <c r="AC371" s="1983"/>
      <c r="AD371" s="1983"/>
      <c r="AE371" s="1984" t="str">
        <f>AF370&amp;"-"&amp;AH370</f>
        <v>45292-45473</v>
      </c>
      <c r="AF371" s="4763"/>
      <c r="AG371" s="4608"/>
      <c r="AH371" s="4782"/>
      <c r="AI371" s="4608"/>
      <c r="AJ371" s="1985"/>
      <c r="AK371" s="4817"/>
      <c r="AL371" s="1978"/>
      <c r="AM371" s="1979"/>
      <c r="AN371" s="1979" t="str">
        <f t="shared" si="6"/>
        <v/>
      </c>
      <c r="AO371" s="1979"/>
      <c r="AP371" s="1979"/>
    </row>
    <row r="372" spans="1:42" s="3413" customFormat="1" ht="23.25" customHeight="1">
      <c r="A372" s="1967"/>
      <c r="B372" s="1967"/>
      <c r="C372" s="1967"/>
      <c r="D372" s="1967"/>
      <c r="E372" s="4760"/>
      <c r="F372" s="4760"/>
      <c r="G372" s="4760"/>
      <c r="H372" s="4760"/>
      <c r="I372" s="4780"/>
      <c r="J372" s="4780"/>
      <c r="K372" s="4757" t="str">
        <f>J369&amp;".2"</f>
        <v>13.1.1.1.3.2</v>
      </c>
      <c r="L372" s="1968"/>
      <c r="M372" s="1969"/>
      <c r="N372" s="1969"/>
      <c r="O372" s="1969"/>
      <c r="P372" s="4758"/>
      <c r="Q372" s="4758"/>
      <c r="R372" s="1971" t="s">
        <v>102</v>
      </c>
      <c r="S372" s="1972" t="str">
        <f>$K372</f>
        <v>13.1.1.1.3.2</v>
      </c>
      <c r="T372" s="1973" t="s">
        <v>660</v>
      </c>
      <c r="U372" s="1974"/>
      <c r="V372" s="1975"/>
      <c r="W372" s="1975"/>
      <c r="X372" s="1976"/>
      <c r="Y372" s="4762"/>
      <c r="Z372" s="4608" t="s">
        <v>65</v>
      </c>
      <c r="AA372" s="4762"/>
      <c r="AB372" s="4608" t="s">
        <v>65</v>
      </c>
      <c r="AC372" s="1975">
        <v>54.64</v>
      </c>
      <c r="AD372" s="1975"/>
      <c r="AE372" s="1976"/>
      <c r="AF372" s="4762">
        <v>45474</v>
      </c>
      <c r="AG372" s="4608" t="s">
        <v>65</v>
      </c>
      <c r="AH372" s="4781">
        <v>45657</v>
      </c>
      <c r="AI372" s="4608" t="s">
        <v>65</v>
      </c>
      <c r="AJ372" s="1977"/>
      <c r="AK37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2" s="1978" t="e">
        <f ca="1">STRCHECKDATE(V373:AJ373)</f>
        <v>#NAME?</v>
      </c>
      <c r="AM372" s="1979"/>
      <c r="AN372" s="1979" t="str">
        <f t="shared" si="6"/>
        <v>Потребители, кроме населения (без учета НДС)</v>
      </c>
      <c r="AO372" s="1979"/>
      <c r="AP372" s="1979"/>
    </row>
    <row r="373" spans="1:42" s="3414" customFormat="1" ht="14.25" customHeight="1">
      <c r="A373" s="1967"/>
      <c r="B373" s="1967"/>
      <c r="C373" s="1967"/>
      <c r="D373" s="1967"/>
      <c r="E373" s="4760"/>
      <c r="F373" s="4760"/>
      <c r="G373" s="4760"/>
      <c r="H373" s="4760"/>
      <c r="I373" s="4780"/>
      <c r="J373" s="4780"/>
      <c r="K373" s="4757" t="str">
        <f>J369&amp;".1"</f>
        <v>13.1.1.1.3.1</v>
      </c>
      <c r="L373" s="1968"/>
      <c r="M373" s="1969"/>
      <c r="N373" s="1969"/>
      <c r="O373" s="1969"/>
      <c r="P373" s="4758"/>
      <c r="Q373" s="4758"/>
      <c r="R373" s="1981"/>
      <c r="S373" s="1982"/>
      <c r="T373" s="1974"/>
      <c r="U373" s="1974"/>
      <c r="V373" s="1983"/>
      <c r="W373" s="1983"/>
      <c r="X373" s="1984" t="str">
        <f>Y372&amp;"-"&amp;AA372</f>
        <v>-</v>
      </c>
      <c r="Y373" s="4763"/>
      <c r="Z373" s="4608"/>
      <c r="AA373" s="4763"/>
      <c r="AB373" s="4608"/>
      <c r="AC373" s="1983"/>
      <c r="AD373" s="1983"/>
      <c r="AE373" s="1984" t="str">
        <f>AF372&amp;"-"&amp;AH372</f>
        <v>45474-45657</v>
      </c>
      <c r="AF373" s="4763"/>
      <c r="AG373" s="4608"/>
      <c r="AH373" s="4782"/>
      <c r="AI373" s="4608"/>
      <c r="AJ373" s="1985"/>
      <c r="AK373" s="4817"/>
      <c r="AL373" s="1978"/>
      <c r="AM373" s="1979"/>
      <c r="AN373" s="1979" t="str">
        <f t="shared" si="6"/>
        <v/>
      </c>
      <c r="AO373" s="1979"/>
      <c r="AP373" s="1979"/>
    </row>
    <row r="374" spans="1:42" s="3415" customFormat="1" ht="21" customHeight="1">
      <c r="A374" s="1967"/>
      <c r="B374" s="1967"/>
      <c r="C374" s="1967"/>
      <c r="D374" s="1967"/>
      <c r="E374" s="4760"/>
      <c r="F374" s="4760"/>
      <c r="G374" s="4760"/>
      <c r="H374" s="4760"/>
      <c r="I374" s="4780"/>
      <c r="J374" s="4757" t="str">
        <f>I356&amp;".2"</f>
        <v>13.1.1.1.2</v>
      </c>
      <c r="K374" s="1967"/>
      <c r="L374" s="1968"/>
      <c r="M374" s="1969"/>
      <c r="N374" s="1969"/>
      <c r="O374" s="1969"/>
      <c r="P374" s="4758"/>
      <c r="Q374" s="4758"/>
      <c r="R374" s="1994"/>
      <c r="S374" s="3416"/>
      <c r="T374" s="3417" t="s">
        <v>624</v>
      </c>
      <c r="U374" s="3418"/>
      <c r="V374" s="3419"/>
      <c r="W374" s="3420"/>
      <c r="X374" s="3421"/>
      <c r="Y374" s="3422"/>
      <c r="Z374" s="3423"/>
      <c r="AA374" s="3424"/>
      <c r="AB374" s="3425"/>
      <c r="AC374" s="3426"/>
      <c r="AD374" s="3427"/>
      <c r="AE374" s="3428"/>
      <c r="AF374" s="3429"/>
      <c r="AG374" s="3430"/>
      <c r="AH374" s="3431"/>
      <c r="AI374" s="3432"/>
      <c r="AJ374" s="3433"/>
      <c r="AK374" s="2013" t="s">
        <v>625</v>
      </c>
      <c r="AL374" s="1978"/>
      <c r="AM374" s="1979"/>
      <c r="AN374" s="1979" t="str">
        <f t="shared" si="6"/>
        <v>Добавить значение признака дифференциации</v>
      </c>
      <c r="AO374" s="1979"/>
      <c r="AP374" s="1979"/>
    </row>
    <row r="375" spans="1:42" s="3434" customFormat="1" ht="21" customHeight="1">
      <c r="A375" s="1967"/>
      <c r="B375" s="1967"/>
      <c r="C375" s="1967"/>
      <c r="D375" s="1967"/>
      <c r="E375" s="4760" t="s">
        <v>210</v>
      </c>
      <c r="F375" s="4760"/>
      <c r="G375" s="4760"/>
      <c r="H375" s="4760"/>
      <c r="I375" s="4757"/>
      <c r="J375" s="1967"/>
      <c r="K375" s="1967"/>
      <c r="L375" s="1968"/>
      <c r="M375" s="1969"/>
      <c r="N375" s="1969"/>
      <c r="O375" s="1969"/>
      <c r="P375" s="4758"/>
      <c r="Q375" s="1970"/>
      <c r="R375" s="1994"/>
      <c r="S375" s="3435"/>
      <c r="T375" s="3436" t="s">
        <v>553</v>
      </c>
      <c r="U375" s="3437"/>
      <c r="V375" s="3438"/>
      <c r="W375" s="3439"/>
      <c r="X375" s="3440"/>
      <c r="Y375" s="3441"/>
      <c r="Z375" s="3442"/>
      <c r="AA375" s="3443"/>
      <c r="AB375" s="3444"/>
      <c r="AC375" s="3445"/>
      <c r="AD375" s="3446"/>
      <c r="AE375" s="3447"/>
      <c r="AF375" s="3448"/>
      <c r="AG375" s="3449"/>
      <c r="AH375" s="3450"/>
      <c r="AI375" s="3451"/>
      <c r="AJ375" s="3452"/>
      <c r="AK375" s="3453"/>
      <c r="AL375" s="1978"/>
      <c r="AM375" s="1979"/>
      <c r="AN375" s="1979" t="str">
        <f t="shared" si="6"/>
        <v>Добавить группу потребителей</v>
      </c>
      <c r="AO375" s="1979"/>
      <c r="AP375" s="1979"/>
    </row>
    <row r="376" spans="1:42" s="3454" customFormat="1" ht="21" customHeight="1">
      <c r="A376" s="1967"/>
      <c r="B376" s="1967"/>
      <c r="C376" s="1967"/>
      <c r="D376" s="1967"/>
      <c r="E376" s="4760" t="s">
        <v>210</v>
      </c>
      <c r="F376" s="4760"/>
      <c r="G376" s="4760"/>
      <c r="H376" s="4759"/>
      <c r="I376" s="1967"/>
      <c r="J376" s="1967"/>
      <c r="K376" s="1967"/>
      <c r="L376" s="1968"/>
      <c r="M376" s="2039"/>
      <c r="N376" s="2039"/>
      <c r="O376" s="2147"/>
      <c r="P376" s="2041"/>
      <c r="Q376" s="2148"/>
      <c r="R376" s="2042"/>
      <c r="S376" s="3455"/>
      <c r="T376" s="3456" t="s">
        <v>626</v>
      </c>
      <c r="U376" s="3457"/>
      <c r="V376" s="3458"/>
      <c r="W376" s="3459"/>
      <c r="X376" s="3460"/>
      <c r="Y376" s="3461"/>
      <c r="Z376" s="3462"/>
      <c r="AA376" s="3463"/>
      <c r="AB376" s="3464"/>
      <c r="AC376" s="3465"/>
      <c r="AD376" s="3466"/>
      <c r="AE376" s="3467"/>
      <c r="AF376" s="3468"/>
      <c r="AG376" s="3469"/>
      <c r="AH376" s="3470"/>
      <c r="AI376" s="3471"/>
      <c r="AJ376" s="3472"/>
      <c r="AK376" s="3473"/>
      <c r="AL376" s="1978"/>
      <c r="AM376" s="1979"/>
      <c r="AN376" s="1979" t="str">
        <f t="shared" si="6"/>
        <v>Добавить наименование признака дифференциации</v>
      </c>
      <c r="AO376" s="1979"/>
      <c r="AP376" s="1979"/>
    </row>
    <row r="377" spans="1:42" s="3474" customFormat="1" ht="14.25" customHeight="1">
      <c r="A377" s="2169"/>
      <c r="B377" s="2169"/>
      <c r="C377" s="2169"/>
      <c r="D377" s="2169"/>
      <c r="E377" s="4760" t="s">
        <v>210</v>
      </c>
      <c r="F377" s="4759"/>
      <c r="G377" s="2169"/>
      <c r="H377" s="2169"/>
      <c r="I377" s="2169"/>
      <c r="J377" s="2169"/>
      <c r="K377" s="2169"/>
      <c r="L377" s="2170"/>
      <c r="M377" s="2171"/>
      <c r="N377" s="2171"/>
      <c r="O377" s="1978"/>
      <c r="P377" s="2172"/>
      <c r="Q377" s="2173"/>
      <c r="R377" s="2172"/>
      <c r="S377" s="2174"/>
      <c r="T377" s="2175" t="s">
        <v>316</v>
      </c>
      <c r="U377" s="2176"/>
      <c r="V377" s="2176"/>
      <c r="W377" s="2176"/>
      <c r="X377" s="2176"/>
      <c r="Y377" s="2176"/>
      <c r="Z377" s="2176"/>
      <c r="AA377" s="2176"/>
      <c r="AB377" s="2176"/>
      <c r="AC377" s="2176"/>
      <c r="AD377" s="2176"/>
      <c r="AE377" s="2176"/>
      <c r="AF377" s="2176"/>
      <c r="AG377" s="2176"/>
      <c r="AH377" s="2176"/>
      <c r="AI377" s="2176"/>
      <c r="AJ377" s="2176"/>
      <c r="AK377" s="2176"/>
      <c r="AL377" s="1978"/>
      <c r="AM377" s="1979"/>
      <c r="AN377" s="1979" t="str">
        <f t="shared" si="6"/>
        <v>Добавить централизованную систему для дифференциации</v>
      </c>
      <c r="AO377" s="1979"/>
      <c r="AP377" s="1979"/>
    </row>
    <row r="378" spans="1:42" s="3475" customFormat="1" ht="14.25" customHeight="1">
      <c r="A378" s="2169"/>
      <c r="B378" s="2169"/>
      <c r="C378" s="2169"/>
      <c r="D378" s="2169"/>
      <c r="E378" s="4759" t="s">
        <v>210</v>
      </c>
      <c r="F378" s="2169"/>
      <c r="G378" s="2169"/>
      <c r="H378" s="2169"/>
      <c r="I378" s="2169"/>
      <c r="J378" s="2169"/>
      <c r="K378" s="2169"/>
      <c r="L378" s="2170"/>
      <c r="M378" s="2171"/>
      <c r="N378" s="2171"/>
      <c r="O378" s="1978"/>
      <c r="P378" s="2172"/>
      <c r="Q378" s="2173"/>
      <c r="R378" s="2172"/>
      <c r="S378" s="2174"/>
      <c r="T378" s="2175" t="s">
        <v>317</v>
      </c>
      <c r="U378" s="2176"/>
      <c r="V378" s="2176"/>
      <c r="W378" s="2176"/>
      <c r="X378" s="2176"/>
      <c r="Y378" s="2176"/>
      <c r="Z378" s="2176"/>
      <c r="AA378" s="2176"/>
      <c r="AB378" s="2176"/>
      <c r="AC378" s="2176"/>
      <c r="AD378" s="2176"/>
      <c r="AE378" s="2176"/>
      <c r="AF378" s="2176"/>
      <c r="AG378" s="2176"/>
      <c r="AH378" s="2176"/>
      <c r="AI378" s="2176"/>
      <c r="AJ378" s="2176"/>
      <c r="AK378" s="2176"/>
      <c r="AL378" s="1978"/>
      <c r="AM378" s="1979"/>
      <c r="AN378" s="1979" t="str">
        <f t="shared" si="6"/>
        <v>Добавить территорию для дифференциации</v>
      </c>
      <c r="AO378" s="1979"/>
      <c r="AP378" s="1979"/>
    </row>
    <row r="379" spans="1:42" s="3476" customFormat="1" ht="23.25" customHeight="1">
      <c r="A379" s="1967" t="s">
        <v>379</v>
      </c>
      <c r="B379" s="1967"/>
      <c r="C379" s="1967"/>
      <c r="D379" s="1967"/>
      <c r="E379" s="4759" t="s">
        <v>212</v>
      </c>
      <c r="F379" s="1967"/>
      <c r="G379" s="1967"/>
      <c r="H379" s="1967"/>
      <c r="I379" s="1967"/>
      <c r="J379" s="1967"/>
      <c r="K379" s="1967"/>
      <c r="L379" s="1968"/>
      <c r="M379" s="2039"/>
      <c r="N379" s="2039"/>
      <c r="O379" s="2039"/>
      <c r="P379" s="2040"/>
      <c r="Q379" s="2041"/>
      <c r="R379" s="2042"/>
      <c r="S379" s="1972" t="str">
        <f>INDEX(PT_DIFFERENTIATION_NUM_NTAR,MATCH(A379,PT_DIFFERENTIATION_NTAR_ID,0))</f>
        <v>14</v>
      </c>
      <c r="T379" s="2043" t="s">
        <v>185</v>
      </c>
      <c r="U379" s="1974"/>
      <c r="V379" s="4745"/>
      <c r="W379" s="4746"/>
      <c r="X379" s="4746"/>
      <c r="Y379" s="4746"/>
      <c r="Z379" s="4746"/>
      <c r="AA379" s="4746"/>
      <c r="AB379" s="4747"/>
      <c r="AC379" s="4745" t="str">
        <f>INDEX(PT_DIFFERENTIATION_NTAR,MATCH(A379,PT_DIFFERENTIATION_NTAR_ID,0))</f>
        <v>С использованием централизованной системы водоотведения на территории посёлка Липки МО "Город Новоульяновск Ульяновской области</v>
      </c>
      <c r="AD379" s="4746"/>
      <c r="AE379" s="4746"/>
      <c r="AF379" s="4746"/>
      <c r="AG379" s="4746"/>
      <c r="AH379" s="4746"/>
      <c r="AI379" s="4746"/>
      <c r="AJ379" s="4747"/>
      <c r="AK379"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379" s="1978"/>
      <c r="AM379" s="1979"/>
      <c r="AN379" s="1979" t="str">
        <f t="shared" si="6"/>
        <v>Наименование тарифа</v>
      </c>
      <c r="AO379" s="1979"/>
      <c r="AP379" s="1979"/>
    </row>
    <row r="380" spans="1:42" s="3477" customFormat="1" ht="23.25" customHeight="1">
      <c r="A380" s="1967"/>
      <c r="B380" s="1967" t="s">
        <v>380</v>
      </c>
      <c r="C380" s="1967"/>
      <c r="D380" s="1967"/>
      <c r="E380" s="4760" t="s">
        <v>211</v>
      </c>
      <c r="F380" s="4759">
        <v>1</v>
      </c>
      <c r="G380" s="1967"/>
      <c r="H380" s="1967"/>
      <c r="I380" s="1967"/>
      <c r="J380" s="1967"/>
      <c r="K380" s="1967"/>
      <c r="L380" s="1968"/>
      <c r="M380" s="2039"/>
      <c r="N380" s="2039"/>
      <c r="O380" s="2039"/>
      <c r="P380" s="2045"/>
      <c r="Q380" s="2046"/>
      <c r="R380" s="2047"/>
      <c r="S380" s="1972" t="str">
        <f>INDEX(PT_DIFFERENTIATION_NUM_TER,MATCH(B380,PT_DIFFERENTIATION_TER_ID,0))</f>
        <v>14.1</v>
      </c>
      <c r="T380" s="2048" t="s">
        <v>538</v>
      </c>
      <c r="U380" s="1974"/>
      <c r="V380" s="4745"/>
      <c r="W380" s="4746"/>
      <c r="X380" s="4746"/>
      <c r="Y380" s="4746"/>
      <c r="Z380" s="4746"/>
      <c r="AA380" s="4746"/>
      <c r="AB380" s="4747"/>
      <c r="AC380" s="4745" t="str">
        <f>INDEX(PT_DIFFERENTIATION_TER,MATCH(B380,PT_DIFFERENTIATION_TER_ID,0))</f>
        <v>Территория 8</v>
      </c>
      <c r="AD380" s="4746"/>
      <c r="AE380" s="4746"/>
      <c r="AF380" s="4746"/>
      <c r="AG380" s="4746"/>
      <c r="AH380" s="4746"/>
      <c r="AI380" s="4746"/>
      <c r="AJ380" s="4747"/>
      <c r="AK380" s="2013" t="s">
        <v>539</v>
      </c>
      <c r="AL380" s="1978"/>
      <c r="AM380" s="1979"/>
      <c r="AN380" s="1979" t="str">
        <f t="shared" si="6"/>
        <v>Территория действия тарифа</v>
      </c>
      <c r="AO380" s="1979"/>
      <c r="AP380" s="1979"/>
    </row>
    <row r="381" spans="1:42" s="3478" customFormat="1" ht="23.25" customHeight="1">
      <c r="A381" s="1967"/>
      <c r="B381" s="1967"/>
      <c r="C381" s="1967" t="s">
        <v>381</v>
      </c>
      <c r="D381" s="1967"/>
      <c r="E381" s="4760" t="s">
        <v>211</v>
      </c>
      <c r="F381" s="4760"/>
      <c r="G381" s="4759">
        <v>1</v>
      </c>
      <c r="H381" s="1967"/>
      <c r="I381" s="1967"/>
      <c r="J381" s="1967"/>
      <c r="K381" s="1967"/>
      <c r="L381" s="1968"/>
      <c r="M381" s="2039"/>
      <c r="N381" s="2039"/>
      <c r="O381" s="2039"/>
      <c r="P381" s="2050"/>
      <c r="Q381" s="2046"/>
      <c r="R381" s="2047"/>
      <c r="S381" s="1972" t="str">
        <f>INDEX(PT_DIFFERENTIATION_NUM_CS,MATCH(C381,PT_DIFFERENTIATION_CS_ID,0))</f>
        <v>14.1.1</v>
      </c>
      <c r="T381" s="2051" t="s">
        <v>652</v>
      </c>
      <c r="U381" s="1974"/>
      <c r="V381" s="4745"/>
      <c r="W381" s="4746"/>
      <c r="X381" s="4746"/>
      <c r="Y381" s="4746"/>
      <c r="Z381" s="4746"/>
      <c r="AA381" s="4746"/>
      <c r="AB381" s="4747"/>
      <c r="AC381" s="4745" t="str">
        <f>INDEX(PT_DIFFERENTIATION_CS,MATCH(C381,PT_DIFFERENTIATION_CS_ID,0))</f>
        <v>без дифференциации</v>
      </c>
      <c r="AD381" s="4746"/>
      <c r="AE381" s="4746"/>
      <c r="AF381" s="4746"/>
      <c r="AG381" s="4746"/>
      <c r="AH381" s="4746"/>
      <c r="AI381" s="4746"/>
      <c r="AJ381" s="4747"/>
      <c r="AK381" s="2013" t="s">
        <v>653</v>
      </c>
      <c r="AL381" s="1978"/>
      <c r="AM381" s="1979"/>
      <c r="AN381" s="1979" t="str">
        <f t="shared" si="6"/>
        <v>Наименование централизованной системы водоотведения</v>
      </c>
      <c r="AO381" s="1979"/>
      <c r="AP381" s="1979"/>
    </row>
    <row r="382" spans="1:42" s="3479" customFormat="1" ht="23.25" customHeight="1">
      <c r="A382" s="1967"/>
      <c r="B382" s="1967"/>
      <c r="C382" s="1967"/>
      <c r="D382" s="1967"/>
      <c r="E382" s="4760" t="s">
        <v>211</v>
      </c>
      <c r="F382" s="4760"/>
      <c r="G382" s="4760"/>
      <c r="H382" s="4760"/>
      <c r="I382" s="4757" t="str">
        <f>S381&amp;".1"</f>
        <v>14.1.1.1</v>
      </c>
      <c r="J382" s="1967"/>
      <c r="K382" s="1967"/>
      <c r="L382" s="1968"/>
      <c r="M382" s="1969"/>
      <c r="N382" s="1969"/>
      <c r="O382" s="1969"/>
      <c r="P382" s="4758">
        <v>1</v>
      </c>
      <c r="Q382" s="1970"/>
      <c r="R382" s="1994"/>
      <c r="S382" s="1972" t="str">
        <f>$I382</f>
        <v>14.1.1.1</v>
      </c>
      <c r="T382" s="2053" t="s">
        <v>621</v>
      </c>
      <c r="U382" s="1974"/>
      <c r="V382" s="4818"/>
      <c r="W382" s="4819"/>
      <c r="X382" s="4819"/>
      <c r="Y382" s="4819"/>
      <c r="Z382" s="4819"/>
      <c r="AA382" s="4819"/>
      <c r="AB382" s="4820"/>
      <c r="AC382" s="4821"/>
      <c r="AD382" s="4822"/>
      <c r="AE382" s="4822"/>
      <c r="AF382" s="4822"/>
      <c r="AG382" s="4822"/>
      <c r="AH382" s="4822"/>
      <c r="AI382" s="4822"/>
      <c r="AJ382" s="4823"/>
      <c r="AK382" s="2013" t="s">
        <v>622</v>
      </c>
      <c r="AL382" s="1978"/>
      <c r="AM382" s="1979"/>
      <c r="AN382" s="1979" t="str">
        <f t="shared" si="6"/>
        <v>Наименование признака дифференциации</v>
      </c>
      <c r="AO382" s="1979"/>
      <c r="AP382" s="1979"/>
    </row>
    <row r="383" spans="1:42" s="3480" customFormat="1" ht="23.25" customHeight="1">
      <c r="A383" s="1967"/>
      <c r="B383" s="1967"/>
      <c r="C383" s="1967"/>
      <c r="D383" s="1967"/>
      <c r="E383" s="4760" t="s">
        <v>211</v>
      </c>
      <c r="F383" s="4760"/>
      <c r="G383" s="4760"/>
      <c r="H383" s="4760"/>
      <c r="I383" s="4780"/>
      <c r="J383" s="4757" t="str">
        <f>I382&amp;".1"</f>
        <v>14.1.1.1.1</v>
      </c>
      <c r="K383" s="1967"/>
      <c r="L383" s="1968" t="s">
        <v>547</v>
      </c>
      <c r="M383" s="1969"/>
      <c r="N383" s="1969"/>
      <c r="O383" s="1969"/>
      <c r="P383" s="4758"/>
      <c r="Q383" s="4758">
        <v>1</v>
      </c>
      <c r="R383" s="1981"/>
      <c r="S383" s="1972" t="str">
        <f>$J383</f>
        <v>14.1.1.1.1</v>
      </c>
      <c r="T383" s="1987" t="s">
        <v>548</v>
      </c>
      <c r="U383" s="1974"/>
      <c r="V383" s="4748"/>
      <c r="W383" s="4749"/>
      <c r="X383" s="4749"/>
      <c r="Y383" s="4749"/>
      <c r="Z383" s="4749"/>
      <c r="AA383" s="4749"/>
      <c r="AB383" s="4750"/>
      <c r="AC383" s="4748" t="s">
        <v>657</v>
      </c>
      <c r="AD383" s="4749"/>
      <c r="AE383" s="4749"/>
      <c r="AF383" s="4749"/>
      <c r="AG383" s="4749"/>
      <c r="AH383" s="4749"/>
      <c r="AI383" s="4749"/>
      <c r="AJ383" s="4750"/>
      <c r="AK383" s="1988" t="s">
        <v>623</v>
      </c>
      <c r="AL383" s="1978"/>
      <c r="AM383" s="1979"/>
      <c r="AN383" s="1979" t="str">
        <f t="shared" si="6"/>
        <v>Группа потребителей</v>
      </c>
      <c r="AO383" s="1979"/>
      <c r="AP383" s="1979"/>
    </row>
    <row r="384" spans="1:42" s="3481" customFormat="1" ht="23.25" customHeight="1">
      <c r="A384" s="1967"/>
      <c r="B384" s="1967"/>
      <c r="C384" s="1967"/>
      <c r="D384" s="1967"/>
      <c r="E384" s="4760" t="s">
        <v>211</v>
      </c>
      <c r="F384" s="4760"/>
      <c r="G384" s="4760"/>
      <c r="H384" s="4760"/>
      <c r="I384" s="4780"/>
      <c r="J384" s="4780"/>
      <c r="K384" s="4757" t="str">
        <f>J383&amp;".1"</f>
        <v>14.1.1.1.1.1</v>
      </c>
      <c r="L384" s="1968"/>
      <c r="M384" s="1969"/>
      <c r="N384" s="1969"/>
      <c r="O384" s="1969"/>
      <c r="P384" s="4758"/>
      <c r="Q384" s="4758"/>
      <c r="R384" s="1981">
        <v>1</v>
      </c>
      <c r="S384" s="1972" t="str">
        <f>$K384</f>
        <v>14.1.1.1.1.1</v>
      </c>
      <c r="T384" s="1973" t="s">
        <v>658</v>
      </c>
      <c r="U384" s="1974"/>
      <c r="V384" s="1975"/>
      <c r="W384" s="1975"/>
      <c r="X384" s="1976"/>
      <c r="Y384" s="4762"/>
      <c r="Z384" s="4608" t="s">
        <v>65</v>
      </c>
      <c r="AA384" s="4762"/>
      <c r="AB384" s="4608" t="s">
        <v>65</v>
      </c>
      <c r="AC384" s="1975">
        <v>17.53</v>
      </c>
      <c r="AD384" s="1975"/>
      <c r="AE384" s="1976"/>
      <c r="AF384" s="4762">
        <v>45292</v>
      </c>
      <c r="AG384" s="4608" t="s">
        <v>65</v>
      </c>
      <c r="AH384" s="4781">
        <v>45473</v>
      </c>
      <c r="AI384" s="4608" t="s">
        <v>65</v>
      </c>
      <c r="AJ384" s="1977"/>
      <c r="AK38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4" s="1978" t="e">
        <f ca="1">STRCHECKDATE(V385:AJ385)</f>
        <v>#NAME?</v>
      </c>
      <c r="AM384" s="1979"/>
      <c r="AN384" s="1979" t="str">
        <f t="shared" si="6"/>
        <v>Население (с учетом НДС)</v>
      </c>
      <c r="AO384" s="1979"/>
      <c r="AP384" s="1979"/>
    </row>
    <row r="385" spans="1:42" s="3482" customFormat="1" ht="14.25" customHeight="1">
      <c r="A385" s="1967"/>
      <c r="B385" s="1967"/>
      <c r="C385" s="1967"/>
      <c r="D385" s="1967"/>
      <c r="E385" s="4760" t="s">
        <v>211</v>
      </c>
      <c r="F385" s="4760"/>
      <c r="G385" s="4760"/>
      <c r="H385" s="4760"/>
      <c r="I385" s="4780"/>
      <c r="J385" s="4780"/>
      <c r="K385" s="4757"/>
      <c r="L385" s="1968"/>
      <c r="M385" s="1969"/>
      <c r="N385" s="1969"/>
      <c r="O385" s="1969"/>
      <c r="P385" s="4758"/>
      <c r="Q385" s="4758"/>
      <c r="R385" s="1981"/>
      <c r="S385" s="1982"/>
      <c r="T385" s="1974"/>
      <c r="U385" s="1974"/>
      <c r="V385" s="1983"/>
      <c r="W385" s="1983"/>
      <c r="X385" s="1984" t="str">
        <f>Y384&amp;"-"&amp;AA384</f>
        <v>-</v>
      </c>
      <c r="Y385" s="4763"/>
      <c r="Z385" s="4608"/>
      <c r="AA385" s="4763"/>
      <c r="AB385" s="4608"/>
      <c r="AC385" s="1983"/>
      <c r="AD385" s="1983"/>
      <c r="AE385" s="1984" t="str">
        <f>AF384&amp;"-"&amp;AH384</f>
        <v>45292-45473</v>
      </c>
      <c r="AF385" s="4763"/>
      <c r="AG385" s="4608"/>
      <c r="AH385" s="4782"/>
      <c r="AI385" s="4608"/>
      <c r="AJ385" s="1985"/>
      <c r="AK385" s="4817"/>
      <c r="AL385" s="1978"/>
      <c r="AM385" s="1979"/>
      <c r="AN385" s="1979" t="str">
        <f t="shared" si="6"/>
        <v/>
      </c>
      <c r="AO385" s="1979"/>
      <c r="AP385" s="1979"/>
    </row>
    <row r="386" spans="1:42" s="3483" customFormat="1" ht="23.25" customHeight="1">
      <c r="A386" s="1967"/>
      <c r="B386" s="1967"/>
      <c r="C386" s="1967"/>
      <c r="D386" s="1967"/>
      <c r="E386" s="4760"/>
      <c r="F386" s="4760"/>
      <c r="G386" s="4760"/>
      <c r="H386" s="4760"/>
      <c r="I386" s="4780"/>
      <c r="J386" s="4780"/>
      <c r="K386" s="4757" t="str">
        <f>J383&amp;".2"</f>
        <v>14.1.1.1.1.2</v>
      </c>
      <c r="L386" s="1968"/>
      <c r="M386" s="1969"/>
      <c r="N386" s="1969"/>
      <c r="O386" s="1969"/>
      <c r="P386" s="4758"/>
      <c r="Q386" s="4758"/>
      <c r="R386" s="1971" t="s">
        <v>102</v>
      </c>
      <c r="S386" s="1972" t="str">
        <f>$K386</f>
        <v>14.1.1.1.1.2</v>
      </c>
      <c r="T386" s="1973" t="s">
        <v>658</v>
      </c>
      <c r="U386" s="1974"/>
      <c r="V386" s="1975"/>
      <c r="W386" s="1975"/>
      <c r="X386" s="1976"/>
      <c r="Y386" s="4762"/>
      <c r="Z386" s="4608" t="s">
        <v>65</v>
      </c>
      <c r="AA386" s="4762"/>
      <c r="AB386" s="4608" t="s">
        <v>65</v>
      </c>
      <c r="AC386" s="1975">
        <v>19.100000000000001</v>
      </c>
      <c r="AD386" s="1975"/>
      <c r="AE386" s="1976"/>
      <c r="AF386" s="4762">
        <v>45474</v>
      </c>
      <c r="AG386" s="4608" t="s">
        <v>65</v>
      </c>
      <c r="AH386" s="4781">
        <v>45657</v>
      </c>
      <c r="AI386" s="4608" t="s">
        <v>65</v>
      </c>
      <c r="AJ386" s="1977"/>
      <c r="AK38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6" s="1978" t="e">
        <f ca="1">STRCHECKDATE(V387:AJ387)</f>
        <v>#NAME?</v>
      </c>
      <c r="AM386" s="1979"/>
      <c r="AN386" s="1979" t="str">
        <f t="shared" si="6"/>
        <v>Население (с учетом НДС)</v>
      </c>
      <c r="AO386" s="1979"/>
      <c r="AP386" s="1979"/>
    </row>
    <row r="387" spans="1:42" s="3484" customFormat="1" ht="14.25" customHeight="1">
      <c r="A387" s="1967"/>
      <c r="B387" s="1967"/>
      <c r="C387" s="1967"/>
      <c r="D387" s="1967"/>
      <c r="E387" s="4760"/>
      <c r="F387" s="4760"/>
      <c r="G387" s="4760"/>
      <c r="H387" s="4760"/>
      <c r="I387" s="4780"/>
      <c r="J387" s="4780"/>
      <c r="K387" s="4757" t="str">
        <f>J383&amp;".1"</f>
        <v>14.1.1.1.1.1</v>
      </c>
      <c r="L387" s="1968"/>
      <c r="M387" s="1969"/>
      <c r="N387" s="1969"/>
      <c r="O387" s="1969"/>
      <c r="P387" s="4758"/>
      <c r="Q387" s="4758"/>
      <c r="R387" s="1981"/>
      <c r="S387" s="1982"/>
      <c r="T387" s="1974"/>
      <c r="U387" s="1974"/>
      <c r="V387" s="1983"/>
      <c r="W387" s="1983"/>
      <c r="X387" s="1984" t="str">
        <f>Y386&amp;"-"&amp;AA386</f>
        <v>-</v>
      </c>
      <c r="Y387" s="4763"/>
      <c r="Z387" s="4608"/>
      <c r="AA387" s="4763"/>
      <c r="AB387" s="4608"/>
      <c r="AC387" s="1983"/>
      <c r="AD387" s="1983"/>
      <c r="AE387" s="1984" t="str">
        <f>AF386&amp;"-"&amp;AH386</f>
        <v>45474-45657</v>
      </c>
      <c r="AF387" s="4763"/>
      <c r="AG387" s="4608"/>
      <c r="AH387" s="4782"/>
      <c r="AI387" s="4608"/>
      <c r="AJ387" s="1985"/>
      <c r="AK387" s="4817"/>
      <c r="AL387" s="1978"/>
      <c r="AM387" s="1979"/>
      <c r="AN387" s="1979" t="str">
        <f t="shared" si="6"/>
        <v/>
      </c>
      <c r="AO387" s="1979"/>
      <c r="AP387" s="1979"/>
    </row>
    <row r="388" spans="1:42" s="3485" customFormat="1" ht="21" customHeight="1">
      <c r="A388" s="1967"/>
      <c r="B388" s="1967"/>
      <c r="C388" s="1967"/>
      <c r="D388" s="1967"/>
      <c r="E388" s="4760" t="s">
        <v>211</v>
      </c>
      <c r="F388" s="4760"/>
      <c r="G388" s="4760"/>
      <c r="H388" s="4760"/>
      <c r="I388" s="4780"/>
      <c r="J388" s="4757"/>
      <c r="K388" s="1967"/>
      <c r="L388" s="1968"/>
      <c r="M388" s="1969"/>
      <c r="N388" s="1969"/>
      <c r="O388" s="1969"/>
      <c r="P388" s="4758"/>
      <c r="Q388" s="4758"/>
      <c r="R388" s="1994"/>
      <c r="S388" s="3486"/>
      <c r="T388" s="3487" t="s">
        <v>624</v>
      </c>
      <c r="U388" s="3488"/>
      <c r="V388" s="3489"/>
      <c r="W388" s="3490"/>
      <c r="X388" s="3491"/>
      <c r="Y388" s="3492"/>
      <c r="Z388" s="3493"/>
      <c r="AA388" s="3494"/>
      <c r="AB388" s="3495"/>
      <c r="AC388" s="3496"/>
      <c r="AD388" s="3497"/>
      <c r="AE388" s="3498"/>
      <c r="AF388" s="3499"/>
      <c r="AG388" s="3500"/>
      <c r="AH388" s="3501"/>
      <c r="AI388" s="3502"/>
      <c r="AJ388" s="3503"/>
      <c r="AK388" s="2013" t="s">
        <v>625</v>
      </c>
      <c r="AL388" s="1978"/>
      <c r="AM388" s="1979"/>
      <c r="AN388" s="1979" t="str">
        <f t="shared" si="6"/>
        <v>Добавить значение признака дифференциации</v>
      </c>
      <c r="AO388" s="1979"/>
      <c r="AP388" s="1979"/>
    </row>
    <row r="389" spans="1:42" s="3504" customFormat="1" ht="23.25" customHeight="1">
      <c r="A389" s="1967"/>
      <c r="B389" s="1967"/>
      <c r="C389" s="1967"/>
      <c r="D389" s="1967"/>
      <c r="E389" s="4760"/>
      <c r="F389" s="4760"/>
      <c r="G389" s="4760"/>
      <c r="H389" s="4760"/>
      <c r="I389" s="4780"/>
      <c r="J389" s="4757" t="str">
        <f>I382&amp;".2"</f>
        <v>14.1.1.1.2</v>
      </c>
      <c r="K389" s="1967"/>
      <c r="L389" s="1968" t="s">
        <v>547</v>
      </c>
      <c r="M389" s="1969"/>
      <c r="N389" s="1969"/>
      <c r="O389" s="1969"/>
      <c r="P389" s="4758"/>
      <c r="Q389" s="4833" t="s">
        <v>102</v>
      </c>
      <c r="R389" s="1981"/>
      <c r="S389" s="1972" t="str">
        <f>$J389</f>
        <v>14.1.1.1.2</v>
      </c>
      <c r="T389" s="1987" t="s">
        <v>548</v>
      </c>
      <c r="U389" s="1974"/>
      <c r="V389" s="4748"/>
      <c r="W389" s="4749"/>
      <c r="X389" s="4749"/>
      <c r="Y389" s="4749"/>
      <c r="Z389" s="4749"/>
      <c r="AA389" s="4749"/>
      <c r="AB389" s="4750"/>
      <c r="AC389" s="4748" t="s">
        <v>659</v>
      </c>
      <c r="AD389" s="4749"/>
      <c r="AE389" s="4749"/>
      <c r="AF389" s="4749"/>
      <c r="AG389" s="4749"/>
      <c r="AH389" s="4749"/>
      <c r="AI389" s="4749"/>
      <c r="AJ389" s="4750"/>
      <c r="AK389" s="1988" t="s">
        <v>623</v>
      </c>
      <c r="AL389" s="1978"/>
      <c r="AM389" s="1979"/>
      <c r="AN389" s="1979" t="str">
        <f t="shared" si="6"/>
        <v>Группа потребителей</v>
      </c>
      <c r="AO389" s="1979"/>
      <c r="AP389" s="1979"/>
    </row>
    <row r="390" spans="1:42" s="3505" customFormat="1" ht="23.25" customHeight="1">
      <c r="A390" s="1967"/>
      <c r="B390" s="1967"/>
      <c r="C390" s="1967"/>
      <c r="D390" s="1967"/>
      <c r="E390" s="4760"/>
      <c r="F390" s="4760"/>
      <c r="G390" s="4760"/>
      <c r="H390" s="4760"/>
      <c r="I390" s="4780"/>
      <c r="J390" s="4780" t="str">
        <f>I382&amp;".1"</f>
        <v>14.1.1.1.1</v>
      </c>
      <c r="K390" s="4757" t="str">
        <f>J389&amp;".1"</f>
        <v>14.1.1.1.2.1</v>
      </c>
      <c r="L390" s="1968"/>
      <c r="M390" s="1969"/>
      <c r="N390" s="1969"/>
      <c r="O390" s="1969"/>
      <c r="P390" s="4758"/>
      <c r="Q390" s="4758"/>
      <c r="R390" s="1981">
        <v>1</v>
      </c>
      <c r="S390" s="1972" t="str">
        <f>$K390</f>
        <v>14.1.1.1.2.1</v>
      </c>
      <c r="T390" s="1973" t="s">
        <v>660</v>
      </c>
      <c r="U390" s="1974"/>
      <c r="V390" s="1975"/>
      <c r="W390" s="1975"/>
      <c r="X390" s="1976"/>
      <c r="Y390" s="4762"/>
      <c r="Z390" s="4608" t="s">
        <v>65</v>
      </c>
      <c r="AA390" s="4762"/>
      <c r="AB390" s="4608" t="s">
        <v>65</v>
      </c>
      <c r="AC390" s="1975">
        <v>14.61</v>
      </c>
      <c r="AD390" s="1975"/>
      <c r="AE390" s="1976"/>
      <c r="AF390" s="4762">
        <v>45292</v>
      </c>
      <c r="AG390" s="4608" t="s">
        <v>65</v>
      </c>
      <c r="AH390" s="4781">
        <v>45473</v>
      </c>
      <c r="AI390" s="4608" t="s">
        <v>65</v>
      </c>
      <c r="AJ390" s="1977"/>
      <c r="AK39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0" s="1978" t="e">
        <f ca="1">STRCHECKDATE(V391:AJ391)</f>
        <v>#NAME?</v>
      </c>
      <c r="AM390" s="1979"/>
      <c r="AN390" s="1979" t="str">
        <f t="shared" si="6"/>
        <v>Потребители, кроме населения (без учета НДС)</v>
      </c>
      <c r="AO390" s="1979"/>
      <c r="AP390" s="1979"/>
    </row>
    <row r="391" spans="1:42" s="3506" customFormat="1" ht="14.25" customHeight="1">
      <c r="A391" s="1967"/>
      <c r="B391" s="1967"/>
      <c r="C391" s="1967"/>
      <c r="D391" s="1967"/>
      <c r="E391" s="4760"/>
      <c r="F391" s="4760"/>
      <c r="G391" s="4760"/>
      <c r="H391" s="4760"/>
      <c r="I391" s="4780"/>
      <c r="J391" s="4780" t="str">
        <f>I382&amp;".1"</f>
        <v>14.1.1.1.1</v>
      </c>
      <c r="K391" s="4757"/>
      <c r="L391" s="1968"/>
      <c r="M391" s="1969"/>
      <c r="N391" s="1969"/>
      <c r="O391" s="1969"/>
      <c r="P391" s="4758"/>
      <c r="Q391" s="4758"/>
      <c r="R391" s="1981"/>
      <c r="S391" s="1982"/>
      <c r="T391" s="1974"/>
      <c r="U391" s="1974"/>
      <c r="V391" s="1983"/>
      <c r="W391" s="1983"/>
      <c r="X391" s="1984" t="str">
        <f>Y390&amp;"-"&amp;AA390</f>
        <v>-</v>
      </c>
      <c r="Y391" s="4763"/>
      <c r="Z391" s="4608"/>
      <c r="AA391" s="4763"/>
      <c r="AB391" s="4608"/>
      <c r="AC391" s="1983"/>
      <c r="AD391" s="1983"/>
      <c r="AE391" s="1984" t="str">
        <f>AF390&amp;"-"&amp;AH390</f>
        <v>45292-45473</v>
      </c>
      <c r="AF391" s="4763"/>
      <c r="AG391" s="4608"/>
      <c r="AH391" s="4782"/>
      <c r="AI391" s="4608"/>
      <c r="AJ391" s="1985"/>
      <c r="AK391" s="4817"/>
      <c r="AL391" s="1978"/>
      <c r="AM391" s="1979"/>
      <c r="AN391" s="1979" t="str">
        <f t="shared" si="6"/>
        <v/>
      </c>
      <c r="AO391" s="1979"/>
      <c r="AP391" s="1979"/>
    </row>
    <row r="392" spans="1:42" s="3507" customFormat="1" ht="23.25" customHeight="1">
      <c r="A392" s="1967"/>
      <c r="B392" s="1967"/>
      <c r="C392" s="1967"/>
      <c r="D392" s="1967"/>
      <c r="E392" s="4760"/>
      <c r="F392" s="4760"/>
      <c r="G392" s="4760"/>
      <c r="H392" s="4760"/>
      <c r="I392" s="4780"/>
      <c r="J392" s="4780"/>
      <c r="K392" s="4757" t="str">
        <f>J389&amp;".2"</f>
        <v>14.1.1.1.2.2</v>
      </c>
      <c r="L392" s="1968"/>
      <c r="M392" s="1969"/>
      <c r="N392" s="1969"/>
      <c r="O392" s="1969"/>
      <c r="P392" s="4758"/>
      <c r="Q392" s="4758"/>
      <c r="R392" s="1971" t="s">
        <v>102</v>
      </c>
      <c r="S392" s="1972" t="str">
        <f>$K392</f>
        <v>14.1.1.1.2.2</v>
      </c>
      <c r="T392" s="1973" t="s">
        <v>660</v>
      </c>
      <c r="U392" s="1974"/>
      <c r="V392" s="1975"/>
      <c r="W392" s="1975"/>
      <c r="X392" s="1976"/>
      <c r="Y392" s="4762"/>
      <c r="Z392" s="4608" t="s">
        <v>65</v>
      </c>
      <c r="AA392" s="4762"/>
      <c r="AB392" s="4608" t="s">
        <v>65</v>
      </c>
      <c r="AC392" s="1975">
        <v>54.64</v>
      </c>
      <c r="AD392" s="1975"/>
      <c r="AE392" s="1976"/>
      <c r="AF392" s="4762">
        <v>45474</v>
      </c>
      <c r="AG392" s="4608" t="s">
        <v>65</v>
      </c>
      <c r="AH392" s="4781">
        <v>45657</v>
      </c>
      <c r="AI392" s="4608" t="s">
        <v>65</v>
      </c>
      <c r="AJ392" s="1977"/>
      <c r="AK39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2" s="1978" t="e">
        <f ca="1">STRCHECKDATE(V393:AJ393)</f>
        <v>#NAME?</v>
      </c>
      <c r="AM392" s="1979"/>
      <c r="AN392" s="1979" t="str">
        <f t="shared" si="6"/>
        <v>Потребители, кроме населения (без учета НДС)</v>
      </c>
      <c r="AO392" s="1979"/>
      <c r="AP392" s="1979"/>
    </row>
    <row r="393" spans="1:42" s="3508" customFormat="1" ht="14.25" customHeight="1">
      <c r="A393" s="1967"/>
      <c r="B393" s="1967"/>
      <c r="C393" s="1967"/>
      <c r="D393" s="1967"/>
      <c r="E393" s="4760"/>
      <c r="F393" s="4760"/>
      <c r="G393" s="4760"/>
      <c r="H393" s="4760"/>
      <c r="I393" s="4780"/>
      <c r="J393" s="4780"/>
      <c r="K393" s="4757" t="str">
        <f>J389&amp;".1"</f>
        <v>14.1.1.1.2.1</v>
      </c>
      <c r="L393" s="1968"/>
      <c r="M393" s="1969"/>
      <c r="N393" s="1969"/>
      <c r="O393" s="1969"/>
      <c r="P393" s="4758"/>
      <c r="Q393" s="4758"/>
      <c r="R393" s="1981"/>
      <c r="S393" s="1982"/>
      <c r="T393" s="1974"/>
      <c r="U393" s="1974"/>
      <c r="V393" s="1983"/>
      <c r="W393" s="1983"/>
      <c r="X393" s="1984" t="str">
        <f>Y392&amp;"-"&amp;AA392</f>
        <v>-</v>
      </c>
      <c r="Y393" s="4763"/>
      <c r="Z393" s="4608"/>
      <c r="AA393" s="4763"/>
      <c r="AB393" s="4608"/>
      <c r="AC393" s="1983"/>
      <c r="AD393" s="1983"/>
      <c r="AE393" s="1984" t="str">
        <f>AF392&amp;"-"&amp;AH392</f>
        <v>45474-45657</v>
      </c>
      <c r="AF393" s="4763"/>
      <c r="AG393" s="4608"/>
      <c r="AH393" s="4782"/>
      <c r="AI393" s="4608"/>
      <c r="AJ393" s="1985"/>
      <c r="AK393" s="4817"/>
      <c r="AL393" s="1978"/>
      <c r="AM393" s="1979"/>
      <c r="AN393" s="1979" t="str">
        <f t="shared" si="6"/>
        <v/>
      </c>
      <c r="AO393" s="1979"/>
      <c r="AP393" s="1979"/>
    </row>
    <row r="394" spans="1:42" s="3509" customFormat="1" ht="21" customHeight="1">
      <c r="A394" s="1967"/>
      <c r="B394" s="1967"/>
      <c r="C394" s="1967"/>
      <c r="D394" s="1967"/>
      <c r="E394" s="4760"/>
      <c r="F394" s="4760"/>
      <c r="G394" s="4760"/>
      <c r="H394" s="4760"/>
      <c r="I394" s="4780"/>
      <c r="J394" s="4757" t="str">
        <f>I382&amp;".1"</f>
        <v>14.1.1.1.1</v>
      </c>
      <c r="K394" s="1967"/>
      <c r="L394" s="1968"/>
      <c r="M394" s="1969"/>
      <c r="N394" s="1969"/>
      <c r="O394" s="1969"/>
      <c r="P394" s="4758"/>
      <c r="Q394" s="4758"/>
      <c r="R394" s="1994"/>
      <c r="S394" s="3510"/>
      <c r="T394" s="3511" t="s">
        <v>624</v>
      </c>
      <c r="U394" s="3512"/>
      <c r="V394" s="3513"/>
      <c r="W394" s="3514"/>
      <c r="X394" s="3515"/>
      <c r="Y394" s="3516"/>
      <c r="Z394" s="3517"/>
      <c r="AA394" s="3518"/>
      <c r="AB394" s="3519"/>
      <c r="AC394" s="3520"/>
      <c r="AD394" s="3521"/>
      <c r="AE394" s="3522"/>
      <c r="AF394" s="3523"/>
      <c r="AG394" s="3524"/>
      <c r="AH394" s="3525"/>
      <c r="AI394" s="3526"/>
      <c r="AJ394" s="3527"/>
      <c r="AK394" s="2013" t="s">
        <v>625</v>
      </c>
      <c r="AL394" s="1978"/>
      <c r="AM394" s="1979"/>
      <c r="AN394" s="1979" t="str">
        <f t="shared" si="6"/>
        <v>Добавить значение признака дифференциации</v>
      </c>
      <c r="AO394" s="1979"/>
      <c r="AP394" s="1979"/>
    </row>
    <row r="395" spans="1:42" s="3528" customFormat="1" ht="23.25" customHeight="1">
      <c r="A395" s="1967"/>
      <c r="B395" s="1967"/>
      <c r="C395" s="1967"/>
      <c r="D395" s="1967"/>
      <c r="E395" s="4760"/>
      <c r="F395" s="4760"/>
      <c r="G395" s="4760"/>
      <c r="H395" s="4760"/>
      <c r="I395" s="4780"/>
      <c r="J395" s="4757" t="str">
        <f>I382&amp;".3"</f>
        <v>14.1.1.1.3</v>
      </c>
      <c r="K395" s="1967"/>
      <c r="L395" s="1968" t="s">
        <v>547</v>
      </c>
      <c r="M395" s="1969"/>
      <c r="N395" s="1969"/>
      <c r="O395" s="1969"/>
      <c r="P395" s="4758"/>
      <c r="Q395" s="4833" t="s">
        <v>102</v>
      </c>
      <c r="R395" s="1981"/>
      <c r="S395" s="1972" t="str">
        <f>$J395</f>
        <v>14.1.1.1.3</v>
      </c>
      <c r="T395" s="1987" t="s">
        <v>548</v>
      </c>
      <c r="U395" s="1974"/>
      <c r="V395" s="4748"/>
      <c r="W395" s="4749"/>
      <c r="X395" s="4749"/>
      <c r="Y395" s="4749"/>
      <c r="Z395" s="4749"/>
      <c r="AA395" s="4749"/>
      <c r="AB395" s="4750"/>
      <c r="AC395" s="4748" t="s">
        <v>661</v>
      </c>
      <c r="AD395" s="4749"/>
      <c r="AE395" s="4749"/>
      <c r="AF395" s="4749"/>
      <c r="AG395" s="4749"/>
      <c r="AH395" s="4749"/>
      <c r="AI395" s="4749"/>
      <c r="AJ395" s="4750"/>
      <c r="AK395" s="1988" t="s">
        <v>623</v>
      </c>
      <c r="AL395" s="1978"/>
      <c r="AM395" s="1979"/>
      <c r="AN395" s="1979" t="str">
        <f t="shared" si="6"/>
        <v>Группа потребителей</v>
      </c>
      <c r="AO395" s="1979"/>
      <c r="AP395" s="1979"/>
    </row>
    <row r="396" spans="1:42" s="3529" customFormat="1" ht="23.25" customHeight="1">
      <c r="A396" s="1967"/>
      <c r="B396" s="1967"/>
      <c r="C396" s="1967"/>
      <c r="D396" s="1967"/>
      <c r="E396" s="4760"/>
      <c r="F396" s="4760"/>
      <c r="G396" s="4760"/>
      <c r="H396" s="4760"/>
      <c r="I396" s="4780"/>
      <c r="J396" s="4780" t="str">
        <f>I382&amp;".2"</f>
        <v>14.1.1.1.2</v>
      </c>
      <c r="K396" s="4757" t="str">
        <f>J395&amp;".1"</f>
        <v>14.1.1.1.3.1</v>
      </c>
      <c r="L396" s="1968"/>
      <c r="M396" s="1969"/>
      <c r="N396" s="1969"/>
      <c r="O396" s="1969"/>
      <c r="P396" s="4758"/>
      <c r="Q396" s="4758"/>
      <c r="R396" s="1981">
        <v>1</v>
      </c>
      <c r="S396" s="1972" t="str">
        <f>$K396</f>
        <v>14.1.1.1.3.1</v>
      </c>
      <c r="T396" s="1973" t="s">
        <v>660</v>
      </c>
      <c r="U396" s="1974"/>
      <c r="V396" s="1975"/>
      <c r="W396" s="1975"/>
      <c r="X396" s="1976"/>
      <c r="Y396" s="4762"/>
      <c r="Z396" s="4608" t="s">
        <v>65</v>
      </c>
      <c r="AA396" s="4762"/>
      <c r="AB396" s="4608" t="s">
        <v>65</v>
      </c>
      <c r="AC396" s="1975">
        <v>14.61</v>
      </c>
      <c r="AD396" s="1975"/>
      <c r="AE396" s="1976"/>
      <c r="AF396" s="4762">
        <v>45292</v>
      </c>
      <c r="AG396" s="4608" t="s">
        <v>65</v>
      </c>
      <c r="AH396" s="4781">
        <v>45473</v>
      </c>
      <c r="AI396" s="4608" t="s">
        <v>65</v>
      </c>
      <c r="AJ396" s="1977"/>
      <c r="AK39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6" s="1978" t="e">
        <f ca="1">STRCHECKDATE(V397:AJ397)</f>
        <v>#NAME?</v>
      </c>
      <c r="AM396" s="1979"/>
      <c r="AN396" s="1979" t="str">
        <f t="shared" si="6"/>
        <v>Потребители, кроме населения (без учета НДС)</v>
      </c>
      <c r="AO396" s="1979"/>
      <c r="AP396" s="1979"/>
    </row>
    <row r="397" spans="1:42" s="3530" customFormat="1" ht="14.25" customHeight="1">
      <c r="A397" s="1967"/>
      <c r="B397" s="1967"/>
      <c r="C397" s="1967"/>
      <c r="D397" s="1967"/>
      <c r="E397" s="4760"/>
      <c r="F397" s="4760"/>
      <c r="G397" s="4760"/>
      <c r="H397" s="4760"/>
      <c r="I397" s="4780"/>
      <c r="J397" s="4780" t="str">
        <f>I382&amp;".2"</f>
        <v>14.1.1.1.2</v>
      </c>
      <c r="K397" s="4757"/>
      <c r="L397" s="1968"/>
      <c r="M397" s="1969"/>
      <c r="N397" s="1969"/>
      <c r="O397" s="1969"/>
      <c r="P397" s="4758"/>
      <c r="Q397" s="4758"/>
      <c r="R397" s="1981"/>
      <c r="S397" s="1982"/>
      <c r="T397" s="1974"/>
      <c r="U397" s="1974"/>
      <c r="V397" s="1983"/>
      <c r="W397" s="1983"/>
      <c r="X397" s="1984" t="str">
        <f>Y396&amp;"-"&amp;AA396</f>
        <v>-</v>
      </c>
      <c r="Y397" s="4763"/>
      <c r="Z397" s="4608"/>
      <c r="AA397" s="4763"/>
      <c r="AB397" s="4608"/>
      <c r="AC397" s="1983"/>
      <c r="AD397" s="1983"/>
      <c r="AE397" s="1984" t="str">
        <f>AF396&amp;"-"&amp;AH396</f>
        <v>45292-45473</v>
      </c>
      <c r="AF397" s="4763"/>
      <c r="AG397" s="4608"/>
      <c r="AH397" s="4782"/>
      <c r="AI397" s="4608"/>
      <c r="AJ397" s="1985"/>
      <c r="AK397" s="4817"/>
      <c r="AL397" s="1978"/>
      <c r="AM397" s="1979"/>
      <c r="AN397" s="1979" t="str">
        <f t="shared" si="6"/>
        <v/>
      </c>
      <c r="AO397" s="1979"/>
      <c r="AP397" s="1979"/>
    </row>
    <row r="398" spans="1:42" s="3531" customFormat="1" ht="23.25" customHeight="1">
      <c r="A398" s="1967"/>
      <c r="B398" s="1967"/>
      <c r="C398" s="1967"/>
      <c r="D398" s="1967"/>
      <c r="E398" s="4760"/>
      <c r="F398" s="4760"/>
      <c r="G398" s="4760"/>
      <c r="H398" s="4760"/>
      <c r="I398" s="4780"/>
      <c r="J398" s="4780"/>
      <c r="K398" s="4757" t="str">
        <f>J395&amp;".2"</f>
        <v>14.1.1.1.3.2</v>
      </c>
      <c r="L398" s="1968"/>
      <c r="M398" s="1969"/>
      <c r="N398" s="1969"/>
      <c r="O398" s="1969"/>
      <c r="P398" s="4758"/>
      <c r="Q398" s="4758"/>
      <c r="R398" s="1971" t="s">
        <v>102</v>
      </c>
      <c r="S398" s="1972" t="str">
        <f>$K398</f>
        <v>14.1.1.1.3.2</v>
      </c>
      <c r="T398" s="1973" t="s">
        <v>660</v>
      </c>
      <c r="U398" s="1974"/>
      <c r="V398" s="1975"/>
      <c r="W398" s="1975"/>
      <c r="X398" s="1976"/>
      <c r="Y398" s="4762"/>
      <c r="Z398" s="4608" t="s">
        <v>65</v>
      </c>
      <c r="AA398" s="4762"/>
      <c r="AB398" s="4608" t="s">
        <v>65</v>
      </c>
      <c r="AC398" s="1975">
        <v>54.64</v>
      </c>
      <c r="AD398" s="1975"/>
      <c r="AE398" s="1976"/>
      <c r="AF398" s="4762">
        <v>45474</v>
      </c>
      <c r="AG398" s="4608" t="s">
        <v>65</v>
      </c>
      <c r="AH398" s="4781">
        <v>45657</v>
      </c>
      <c r="AI398" s="4608" t="s">
        <v>65</v>
      </c>
      <c r="AJ398" s="1977"/>
      <c r="AK39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8" s="1978" t="e">
        <f ca="1">STRCHECKDATE(V399:AJ399)</f>
        <v>#NAME?</v>
      </c>
      <c r="AM398" s="1979"/>
      <c r="AN398" s="1979" t="str">
        <f t="shared" si="6"/>
        <v>Потребители, кроме населения (без учета НДС)</v>
      </c>
      <c r="AO398" s="1979"/>
      <c r="AP398" s="1979"/>
    </row>
    <row r="399" spans="1:42" s="3532" customFormat="1" ht="14.25" customHeight="1">
      <c r="A399" s="1967"/>
      <c r="B399" s="1967"/>
      <c r="C399" s="1967"/>
      <c r="D399" s="1967"/>
      <c r="E399" s="4760"/>
      <c r="F399" s="4760"/>
      <c r="G399" s="4760"/>
      <c r="H399" s="4760"/>
      <c r="I399" s="4780"/>
      <c r="J399" s="4780"/>
      <c r="K399" s="4757" t="str">
        <f>J395&amp;".1"</f>
        <v>14.1.1.1.3.1</v>
      </c>
      <c r="L399" s="1968"/>
      <c r="M399" s="1969"/>
      <c r="N399" s="1969"/>
      <c r="O399" s="1969"/>
      <c r="P399" s="4758"/>
      <c r="Q399" s="4758"/>
      <c r="R399" s="1981"/>
      <c r="S399" s="1982"/>
      <c r="T399" s="1974"/>
      <c r="U399" s="1974"/>
      <c r="V399" s="1983"/>
      <c r="W399" s="1983"/>
      <c r="X399" s="1984" t="str">
        <f>Y398&amp;"-"&amp;AA398</f>
        <v>-</v>
      </c>
      <c r="Y399" s="4763"/>
      <c r="Z399" s="4608"/>
      <c r="AA399" s="4763"/>
      <c r="AB399" s="4608"/>
      <c r="AC399" s="1983"/>
      <c r="AD399" s="1983"/>
      <c r="AE399" s="1984" t="str">
        <f>AF398&amp;"-"&amp;AH398</f>
        <v>45474-45657</v>
      </c>
      <c r="AF399" s="4763"/>
      <c r="AG399" s="4608"/>
      <c r="AH399" s="4782"/>
      <c r="AI399" s="4608"/>
      <c r="AJ399" s="1985"/>
      <c r="AK399" s="4817"/>
      <c r="AL399" s="1978"/>
      <c r="AM399" s="1979"/>
      <c r="AN399" s="1979" t="str">
        <f t="shared" si="6"/>
        <v/>
      </c>
      <c r="AO399" s="1979"/>
      <c r="AP399" s="1979"/>
    </row>
    <row r="400" spans="1:42" s="3533" customFormat="1" ht="21" customHeight="1">
      <c r="A400" s="1967"/>
      <c r="B400" s="1967"/>
      <c r="C400" s="1967"/>
      <c r="D400" s="1967"/>
      <c r="E400" s="4760"/>
      <c r="F400" s="4760"/>
      <c r="G400" s="4760"/>
      <c r="H400" s="4760"/>
      <c r="I400" s="4780"/>
      <c r="J400" s="4757" t="str">
        <f>I382&amp;".2"</f>
        <v>14.1.1.1.2</v>
      </c>
      <c r="K400" s="1967"/>
      <c r="L400" s="1968"/>
      <c r="M400" s="1969"/>
      <c r="N400" s="1969"/>
      <c r="O400" s="1969"/>
      <c r="P400" s="4758"/>
      <c r="Q400" s="4758"/>
      <c r="R400" s="1994"/>
      <c r="S400" s="3534"/>
      <c r="T400" s="3535" t="s">
        <v>624</v>
      </c>
      <c r="U400" s="3536"/>
      <c r="V400" s="3537"/>
      <c r="W400" s="3538"/>
      <c r="X400" s="3539"/>
      <c r="Y400" s="3540"/>
      <c r="Z400" s="3541"/>
      <c r="AA400" s="3542"/>
      <c r="AB400" s="3543"/>
      <c r="AC400" s="3544"/>
      <c r="AD400" s="3545"/>
      <c r="AE400" s="3546"/>
      <c r="AF400" s="3547"/>
      <c r="AG400" s="3548"/>
      <c r="AH400" s="3549"/>
      <c r="AI400" s="3550"/>
      <c r="AJ400" s="3551"/>
      <c r="AK400" s="2013" t="s">
        <v>625</v>
      </c>
      <c r="AL400" s="1978"/>
      <c r="AM400" s="1979"/>
      <c r="AN400" s="1979" t="str">
        <f t="shared" si="6"/>
        <v>Добавить значение признака дифференциации</v>
      </c>
      <c r="AO400" s="1979"/>
      <c r="AP400" s="1979"/>
    </row>
    <row r="401" spans="1:42" s="3552" customFormat="1" ht="21" customHeight="1">
      <c r="A401" s="1967"/>
      <c r="B401" s="1967"/>
      <c r="C401" s="1967"/>
      <c r="D401" s="1967"/>
      <c r="E401" s="4760" t="s">
        <v>211</v>
      </c>
      <c r="F401" s="4760"/>
      <c r="G401" s="4760"/>
      <c r="H401" s="4760"/>
      <c r="I401" s="4757"/>
      <c r="J401" s="1967"/>
      <c r="K401" s="1967"/>
      <c r="L401" s="1968"/>
      <c r="M401" s="1969"/>
      <c r="N401" s="1969"/>
      <c r="O401" s="1969"/>
      <c r="P401" s="4758"/>
      <c r="Q401" s="1970"/>
      <c r="R401" s="1994"/>
      <c r="S401" s="3553"/>
      <c r="T401" s="3554" t="s">
        <v>553</v>
      </c>
      <c r="U401" s="3555"/>
      <c r="V401" s="3556"/>
      <c r="W401" s="3557"/>
      <c r="X401" s="3558"/>
      <c r="Y401" s="3559"/>
      <c r="Z401" s="3560"/>
      <c r="AA401" s="3561"/>
      <c r="AB401" s="3562"/>
      <c r="AC401" s="3563"/>
      <c r="AD401" s="3564"/>
      <c r="AE401" s="3565"/>
      <c r="AF401" s="3566"/>
      <c r="AG401" s="3567"/>
      <c r="AH401" s="3568"/>
      <c r="AI401" s="3569"/>
      <c r="AJ401" s="3570"/>
      <c r="AK401" s="3571"/>
      <c r="AL401" s="1978"/>
      <c r="AM401" s="1979"/>
      <c r="AN401" s="1979" t="str">
        <f t="shared" si="6"/>
        <v>Добавить группу потребителей</v>
      </c>
      <c r="AO401" s="1979"/>
      <c r="AP401" s="1979"/>
    </row>
    <row r="402" spans="1:42" s="3572" customFormat="1" ht="21" customHeight="1">
      <c r="A402" s="1967"/>
      <c r="B402" s="1967"/>
      <c r="C402" s="1967"/>
      <c r="D402" s="1967"/>
      <c r="E402" s="4760" t="s">
        <v>211</v>
      </c>
      <c r="F402" s="4760"/>
      <c r="G402" s="4760"/>
      <c r="H402" s="4759"/>
      <c r="I402" s="1967"/>
      <c r="J402" s="1967"/>
      <c r="K402" s="1967"/>
      <c r="L402" s="1968"/>
      <c r="M402" s="2039"/>
      <c r="N402" s="2039"/>
      <c r="O402" s="2147"/>
      <c r="P402" s="2041"/>
      <c r="Q402" s="2148"/>
      <c r="R402" s="2042"/>
      <c r="S402" s="3573"/>
      <c r="T402" s="3574" t="s">
        <v>626</v>
      </c>
      <c r="U402" s="3575"/>
      <c r="V402" s="3576"/>
      <c r="W402" s="3577"/>
      <c r="X402" s="3578"/>
      <c r="Y402" s="3579"/>
      <c r="Z402" s="3580"/>
      <c r="AA402" s="3581"/>
      <c r="AB402" s="3582"/>
      <c r="AC402" s="3583"/>
      <c r="AD402" s="3584"/>
      <c r="AE402" s="3585"/>
      <c r="AF402" s="3586"/>
      <c r="AG402" s="3587"/>
      <c r="AH402" s="3588"/>
      <c r="AI402" s="3589"/>
      <c r="AJ402" s="3590"/>
      <c r="AK402" s="3591"/>
      <c r="AL402" s="1978"/>
      <c r="AM402" s="1979"/>
      <c r="AN402" s="1979" t="str">
        <f t="shared" si="6"/>
        <v>Добавить наименование признака дифференциации</v>
      </c>
      <c r="AO402" s="1979"/>
      <c r="AP402" s="1979"/>
    </row>
    <row r="403" spans="1:42" s="3592" customFormat="1" ht="14.25" customHeight="1">
      <c r="A403" s="2169"/>
      <c r="B403" s="2169"/>
      <c r="C403" s="2169"/>
      <c r="D403" s="2169"/>
      <c r="E403" s="4760" t="s">
        <v>211</v>
      </c>
      <c r="F403" s="4759"/>
      <c r="G403" s="2169"/>
      <c r="H403" s="2169"/>
      <c r="I403" s="2169"/>
      <c r="J403" s="2169"/>
      <c r="K403" s="2169"/>
      <c r="L403" s="2170"/>
      <c r="M403" s="2171"/>
      <c r="N403" s="2171"/>
      <c r="O403" s="1978"/>
      <c r="P403" s="2172"/>
      <c r="Q403" s="2173"/>
      <c r="R403" s="2172"/>
      <c r="S403" s="2174"/>
      <c r="T403" s="2175" t="s">
        <v>316</v>
      </c>
      <c r="U403" s="2176"/>
      <c r="V403" s="2176"/>
      <c r="W403" s="2176"/>
      <c r="X403" s="2176"/>
      <c r="Y403" s="2176"/>
      <c r="Z403" s="2176"/>
      <c r="AA403" s="2176"/>
      <c r="AB403" s="2176"/>
      <c r="AC403" s="2176"/>
      <c r="AD403" s="2176"/>
      <c r="AE403" s="2176"/>
      <c r="AF403" s="2176"/>
      <c r="AG403" s="2176"/>
      <c r="AH403" s="2176"/>
      <c r="AI403" s="2176"/>
      <c r="AJ403" s="2176"/>
      <c r="AK403" s="2176"/>
      <c r="AL403" s="1978"/>
      <c r="AM403" s="1979"/>
      <c r="AN403" s="1979" t="str">
        <f t="shared" si="6"/>
        <v>Добавить централизованную систему для дифференциации</v>
      </c>
      <c r="AO403" s="1979"/>
      <c r="AP403" s="1979"/>
    </row>
    <row r="404" spans="1:42" s="3593" customFormat="1" ht="14.25" customHeight="1">
      <c r="A404" s="2169"/>
      <c r="B404" s="2169"/>
      <c r="C404" s="2169"/>
      <c r="D404" s="2169"/>
      <c r="E404" s="4759" t="s">
        <v>211</v>
      </c>
      <c r="F404" s="2169"/>
      <c r="G404" s="2169"/>
      <c r="H404" s="2169"/>
      <c r="I404" s="2169"/>
      <c r="J404" s="2169"/>
      <c r="K404" s="2169"/>
      <c r="L404" s="2170"/>
      <c r="M404" s="2171"/>
      <c r="N404" s="2171"/>
      <c r="O404" s="1978"/>
      <c r="P404" s="2172"/>
      <c r="Q404" s="2173"/>
      <c r="R404" s="2172"/>
      <c r="S404" s="2174"/>
      <c r="T404" s="2175" t="s">
        <v>317</v>
      </c>
      <c r="U404" s="2176"/>
      <c r="V404" s="2176"/>
      <c r="W404" s="2176"/>
      <c r="X404" s="2176"/>
      <c r="Y404" s="2176"/>
      <c r="Z404" s="2176"/>
      <c r="AA404" s="2176"/>
      <c r="AB404" s="2176"/>
      <c r="AC404" s="2176"/>
      <c r="AD404" s="2176"/>
      <c r="AE404" s="2176"/>
      <c r="AF404" s="2176"/>
      <c r="AG404" s="2176"/>
      <c r="AH404" s="2176"/>
      <c r="AI404" s="2176"/>
      <c r="AJ404" s="2176"/>
      <c r="AK404" s="2176"/>
      <c r="AL404" s="1978"/>
      <c r="AM404" s="1979"/>
      <c r="AN404" s="1979" t="str">
        <f t="shared" si="6"/>
        <v>Добавить территорию для дифференциации</v>
      </c>
      <c r="AO404" s="1979"/>
      <c r="AP404" s="1979"/>
    </row>
    <row r="405" spans="1:42" s="3594" customFormat="1" ht="23.25" customHeight="1">
      <c r="A405" s="1967" t="s">
        <v>385</v>
      </c>
      <c r="B405" s="1967"/>
      <c r="C405" s="1967"/>
      <c r="D405" s="1967"/>
      <c r="E405" s="4759" t="s">
        <v>383</v>
      </c>
      <c r="F405" s="1967"/>
      <c r="G405" s="1967"/>
      <c r="H405" s="1967"/>
      <c r="I405" s="1967"/>
      <c r="J405" s="1967"/>
      <c r="K405" s="1967"/>
      <c r="L405" s="1968"/>
      <c r="M405" s="2039"/>
      <c r="N405" s="2039"/>
      <c r="O405" s="2039"/>
      <c r="P405" s="2040"/>
      <c r="Q405" s="2041"/>
      <c r="R405" s="2042"/>
      <c r="S405" s="1972" t="str">
        <f>INDEX(PT_DIFFERENTIATION_NUM_NTAR,MATCH(A405,PT_DIFFERENTIATION_NTAR_ID,0))</f>
        <v>15</v>
      </c>
      <c r="T405" s="2043" t="s">
        <v>185</v>
      </c>
      <c r="U405" s="1974"/>
      <c r="V405" s="4745"/>
      <c r="W405" s="4746"/>
      <c r="X405" s="4746"/>
      <c r="Y405" s="4746"/>
      <c r="Z405" s="4746"/>
      <c r="AA405" s="4746"/>
      <c r="AB405" s="4747"/>
      <c r="AC405" s="4745" t="str">
        <f>INDEX(PT_DIFFERENTIATION_NTAR,MATCH(A405,PT_DIFFERENTIATION_NTAR_ID,0))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AD405" s="4746"/>
      <c r="AE405" s="4746"/>
      <c r="AF405" s="4746"/>
      <c r="AG405" s="4746"/>
      <c r="AH405" s="4746"/>
      <c r="AI405" s="4746"/>
      <c r="AJ405" s="4747"/>
      <c r="AK405"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05" s="1978"/>
      <c r="AM405" s="1979"/>
      <c r="AN405" s="1979" t="str">
        <f t="shared" si="6"/>
        <v>Наименование тарифа</v>
      </c>
      <c r="AO405" s="1979"/>
      <c r="AP405" s="1979"/>
    </row>
    <row r="406" spans="1:42" s="3595" customFormat="1" ht="23.25" customHeight="1">
      <c r="A406" s="1967"/>
      <c r="B406" s="1967" t="s">
        <v>386</v>
      </c>
      <c r="C406" s="1967"/>
      <c r="D406" s="1967"/>
      <c r="E406" s="4760" t="s">
        <v>212</v>
      </c>
      <c r="F406" s="4759">
        <v>1</v>
      </c>
      <c r="G406" s="1967"/>
      <c r="H406" s="1967"/>
      <c r="I406" s="1967"/>
      <c r="J406" s="1967"/>
      <c r="K406" s="1967"/>
      <c r="L406" s="1968"/>
      <c r="M406" s="2039"/>
      <c r="N406" s="2039"/>
      <c r="O406" s="2039"/>
      <c r="P406" s="2045"/>
      <c r="Q406" s="2046"/>
      <c r="R406" s="2047"/>
      <c r="S406" s="1972" t="str">
        <f>INDEX(PT_DIFFERENTIATION_NUM_TER,MATCH(B406,PT_DIFFERENTIATION_TER_ID,0))</f>
        <v>15.1</v>
      </c>
      <c r="T406" s="2048" t="s">
        <v>538</v>
      </c>
      <c r="U406" s="1974"/>
      <c r="V406" s="4745"/>
      <c r="W406" s="4746"/>
      <c r="X406" s="4746"/>
      <c r="Y406" s="4746"/>
      <c r="Z406" s="4746"/>
      <c r="AA406" s="4746"/>
      <c r="AB406" s="4747"/>
      <c r="AC406" s="4745" t="str">
        <f>INDEX(PT_DIFFERENTIATION_TER,MATCH(B406,PT_DIFFERENTIATION_TER_ID,0))</f>
        <v>Территория 8</v>
      </c>
      <c r="AD406" s="4746"/>
      <c r="AE406" s="4746"/>
      <c r="AF406" s="4746"/>
      <c r="AG406" s="4746"/>
      <c r="AH406" s="4746"/>
      <c r="AI406" s="4746"/>
      <c r="AJ406" s="4747"/>
      <c r="AK406" s="2013" t="s">
        <v>539</v>
      </c>
      <c r="AL406" s="1978"/>
      <c r="AM406" s="1979"/>
      <c r="AN406" s="1979" t="str">
        <f t="shared" si="6"/>
        <v>Территория действия тарифа</v>
      </c>
      <c r="AO406" s="1979"/>
      <c r="AP406" s="1979"/>
    </row>
    <row r="407" spans="1:42" s="3596" customFormat="1" ht="23.25" customHeight="1">
      <c r="A407" s="1967"/>
      <c r="B407" s="1967"/>
      <c r="C407" s="1967" t="s">
        <v>387</v>
      </c>
      <c r="D407" s="1967"/>
      <c r="E407" s="4760" t="s">
        <v>212</v>
      </c>
      <c r="F407" s="4760"/>
      <c r="G407" s="4759">
        <v>1</v>
      </c>
      <c r="H407" s="1967"/>
      <c r="I407" s="1967"/>
      <c r="J407" s="1967"/>
      <c r="K407" s="1967"/>
      <c r="L407" s="1968"/>
      <c r="M407" s="2039"/>
      <c r="N407" s="2039"/>
      <c r="O407" s="2039"/>
      <c r="P407" s="2050"/>
      <c r="Q407" s="2046"/>
      <c r="R407" s="2047"/>
      <c r="S407" s="1972" t="str">
        <f>INDEX(PT_DIFFERENTIATION_NUM_CS,MATCH(C407,PT_DIFFERENTIATION_CS_ID,0))</f>
        <v>15.1.1</v>
      </c>
      <c r="T407" s="2051" t="s">
        <v>652</v>
      </c>
      <c r="U407" s="1974"/>
      <c r="V407" s="4745"/>
      <c r="W407" s="4746"/>
      <c r="X407" s="4746"/>
      <c r="Y407" s="4746"/>
      <c r="Z407" s="4746"/>
      <c r="AA407" s="4746"/>
      <c r="AB407" s="4747"/>
      <c r="AC407" s="4745" t="str">
        <f>INDEX(PT_DIFFERENTIATION_CS,MATCH(C407,PT_DIFFERENTIATION_CS_ID,0))</f>
        <v>без дифференциации</v>
      </c>
      <c r="AD407" s="4746"/>
      <c r="AE407" s="4746"/>
      <c r="AF407" s="4746"/>
      <c r="AG407" s="4746"/>
      <c r="AH407" s="4746"/>
      <c r="AI407" s="4746"/>
      <c r="AJ407" s="4747"/>
      <c r="AK407" s="2013" t="s">
        <v>653</v>
      </c>
      <c r="AL407" s="1978"/>
      <c r="AM407" s="1979"/>
      <c r="AN407" s="1979" t="str">
        <f t="shared" si="6"/>
        <v>Наименование централизованной системы водоотведения</v>
      </c>
      <c r="AO407" s="1979"/>
      <c r="AP407" s="1979"/>
    </row>
    <row r="408" spans="1:42" s="3597" customFormat="1" ht="23.25" customHeight="1">
      <c r="A408" s="1967"/>
      <c r="B408" s="1967"/>
      <c r="C408" s="1967"/>
      <c r="D408" s="1967"/>
      <c r="E408" s="4760" t="s">
        <v>212</v>
      </c>
      <c r="F408" s="4760"/>
      <c r="G408" s="4760"/>
      <c r="H408" s="4760"/>
      <c r="I408" s="4757" t="str">
        <f>S407&amp;".1"</f>
        <v>15.1.1.1</v>
      </c>
      <c r="J408" s="1967"/>
      <c r="K408" s="1967"/>
      <c r="L408" s="1968"/>
      <c r="M408" s="1969"/>
      <c r="N408" s="1969"/>
      <c r="O408" s="1969"/>
      <c r="P408" s="4758">
        <v>1</v>
      </c>
      <c r="Q408" s="1970"/>
      <c r="R408" s="1994"/>
      <c r="S408" s="1972" t="str">
        <f>$I408</f>
        <v>15.1.1.1</v>
      </c>
      <c r="T408" s="2053" t="s">
        <v>621</v>
      </c>
      <c r="U408" s="1974"/>
      <c r="V408" s="4818"/>
      <c r="W408" s="4819"/>
      <c r="X408" s="4819"/>
      <c r="Y408" s="4819"/>
      <c r="Z408" s="4819"/>
      <c r="AA408" s="4819"/>
      <c r="AB408" s="4820"/>
      <c r="AC408" s="4821"/>
      <c r="AD408" s="4822"/>
      <c r="AE408" s="4822"/>
      <c r="AF408" s="4822"/>
      <c r="AG408" s="4822"/>
      <c r="AH408" s="4822"/>
      <c r="AI408" s="4822"/>
      <c r="AJ408" s="4823"/>
      <c r="AK408" s="2013" t="s">
        <v>622</v>
      </c>
      <c r="AL408" s="1978"/>
      <c r="AM408" s="1979"/>
      <c r="AN408" s="1979" t="str">
        <f t="shared" si="6"/>
        <v>Наименование признака дифференциации</v>
      </c>
      <c r="AO408" s="1979"/>
      <c r="AP408" s="1979"/>
    </row>
    <row r="409" spans="1:42" s="3598" customFormat="1" ht="23.25" customHeight="1">
      <c r="A409" s="1967"/>
      <c r="B409" s="1967"/>
      <c r="C409" s="1967"/>
      <c r="D409" s="1967"/>
      <c r="E409" s="4760" t="s">
        <v>212</v>
      </c>
      <c r="F409" s="4760"/>
      <c r="G409" s="4760"/>
      <c r="H409" s="4760"/>
      <c r="I409" s="4780"/>
      <c r="J409" s="4757" t="str">
        <f>I408&amp;".1"</f>
        <v>15.1.1.1.1</v>
      </c>
      <c r="K409" s="1967"/>
      <c r="L409" s="1968" t="s">
        <v>547</v>
      </c>
      <c r="M409" s="1969"/>
      <c r="N409" s="1969"/>
      <c r="O409" s="1969"/>
      <c r="P409" s="4758"/>
      <c r="Q409" s="4758">
        <v>1</v>
      </c>
      <c r="R409" s="1981"/>
      <c r="S409" s="1972" t="str">
        <f>$J409</f>
        <v>15.1.1.1.1</v>
      </c>
      <c r="T409" s="1987" t="s">
        <v>548</v>
      </c>
      <c r="U409" s="1974"/>
      <c r="V409" s="4748"/>
      <c r="W409" s="4749"/>
      <c r="X409" s="4749"/>
      <c r="Y409" s="4749"/>
      <c r="Z409" s="4749"/>
      <c r="AA409" s="4749"/>
      <c r="AB409" s="4750"/>
      <c r="AC409" s="4748" t="s">
        <v>657</v>
      </c>
      <c r="AD409" s="4749"/>
      <c r="AE409" s="4749"/>
      <c r="AF409" s="4749"/>
      <c r="AG409" s="4749"/>
      <c r="AH409" s="4749"/>
      <c r="AI409" s="4749"/>
      <c r="AJ409" s="4750"/>
      <c r="AK409" s="1988" t="s">
        <v>623</v>
      </c>
      <c r="AL409" s="1978"/>
      <c r="AM409" s="1979"/>
      <c r="AN409" s="1979" t="str">
        <f t="shared" si="6"/>
        <v>Группа потребителей</v>
      </c>
      <c r="AO409" s="1979"/>
      <c r="AP409" s="1979"/>
    </row>
    <row r="410" spans="1:42" s="3599" customFormat="1" ht="23.25" customHeight="1">
      <c r="A410" s="1967"/>
      <c r="B410" s="1967"/>
      <c r="C410" s="1967"/>
      <c r="D410" s="1967"/>
      <c r="E410" s="4760" t="s">
        <v>212</v>
      </c>
      <c r="F410" s="4760"/>
      <c r="G410" s="4760"/>
      <c r="H410" s="4760"/>
      <c r="I410" s="4780"/>
      <c r="J410" s="4780"/>
      <c r="K410" s="4757" t="str">
        <f>J409&amp;".1"</f>
        <v>15.1.1.1.1.1</v>
      </c>
      <c r="L410" s="1968"/>
      <c r="M410" s="1969"/>
      <c r="N410" s="1969"/>
      <c r="O410" s="1969"/>
      <c r="P410" s="4758"/>
      <c r="Q410" s="4758"/>
      <c r="R410" s="1981">
        <v>1</v>
      </c>
      <c r="S410" s="1972" t="str">
        <f>$K410</f>
        <v>15.1.1.1.1.1</v>
      </c>
      <c r="T410" s="1973" t="s">
        <v>658</v>
      </c>
      <c r="U410" s="1974"/>
      <c r="V410" s="1975"/>
      <c r="W410" s="1975"/>
      <c r="X410" s="1976"/>
      <c r="Y410" s="4762"/>
      <c r="Z410" s="4608" t="s">
        <v>65</v>
      </c>
      <c r="AA410" s="4762"/>
      <c r="AB410" s="4608" t="s">
        <v>65</v>
      </c>
      <c r="AC410" s="1975">
        <v>11.5</v>
      </c>
      <c r="AD410" s="1975"/>
      <c r="AE410" s="1976"/>
      <c r="AF410" s="4762">
        <v>45292</v>
      </c>
      <c r="AG410" s="4608" t="s">
        <v>65</v>
      </c>
      <c r="AH410" s="4781">
        <v>45473</v>
      </c>
      <c r="AI410" s="4608" t="s">
        <v>65</v>
      </c>
      <c r="AJ410" s="1977"/>
      <c r="AK41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0" s="1978" t="e">
        <f ca="1">STRCHECKDATE(V411:AJ411)</f>
        <v>#NAME?</v>
      </c>
      <c r="AM410" s="1979"/>
      <c r="AN410" s="1979" t="str">
        <f t="shared" si="6"/>
        <v>Население (с учетом НДС)</v>
      </c>
      <c r="AO410" s="1979"/>
      <c r="AP410" s="1979"/>
    </row>
    <row r="411" spans="1:42" s="3600" customFormat="1" ht="14.25" customHeight="1">
      <c r="A411" s="1967"/>
      <c r="B411" s="1967"/>
      <c r="C411" s="1967"/>
      <c r="D411" s="1967"/>
      <c r="E411" s="4760" t="s">
        <v>212</v>
      </c>
      <c r="F411" s="4760"/>
      <c r="G411" s="4760"/>
      <c r="H411" s="4760"/>
      <c r="I411" s="4780"/>
      <c r="J411" s="4780"/>
      <c r="K411" s="4757"/>
      <c r="L411" s="1968"/>
      <c r="M411" s="1969"/>
      <c r="N411" s="1969"/>
      <c r="O411" s="1969"/>
      <c r="P411" s="4758"/>
      <c r="Q411" s="4758"/>
      <c r="R411" s="1981"/>
      <c r="S411" s="1982"/>
      <c r="T411" s="1974"/>
      <c r="U411" s="1974"/>
      <c r="V411" s="1983"/>
      <c r="W411" s="1983"/>
      <c r="X411" s="1984" t="str">
        <f>Y410&amp;"-"&amp;AA410</f>
        <v>-</v>
      </c>
      <c r="Y411" s="4763"/>
      <c r="Z411" s="4608"/>
      <c r="AA411" s="4763"/>
      <c r="AB411" s="4608"/>
      <c r="AC411" s="1983"/>
      <c r="AD411" s="1983"/>
      <c r="AE411" s="1984" t="str">
        <f>AF410&amp;"-"&amp;AH410</f>
        <v>45292-45473</v>
      </c>
      <c r="AF411" s="4763"/>
      <c r="AG411" s="4608"/>
      <c r="AH411" s="4782"/>
      <c r="AI411" s="4608"/>
      <c r="AJ411" s="1985"/>
      <c r="AK411" s="4817"/>
      <c r="AL411" s="1978"/>
      <c r="AM411" s="1979"/>
      <c r="AN411" s="1979" t="str">
        <f t="shared" si="6"/>
        <v/>
      </c>
      <c r="AO411" s="1979"/>
      <c r="AP411" s="1979"/>
    </row>
    <row r="412" spans="1:42" s="3601" customFormat="1" ht="23.25" customHeight="1">
      <c r="A412" s="1967"/>
      <c r="B412" s="1967"/>
      <c r="C412" s="1967"/>
      <c r="D412" s="1967"/>
      <c r="E412" s="4760"/>
      <c r="F412" s="4760"/>
      <c r="G412" s="4760"/>
      <c r="H412" s="4760"/>
      <c r="I412" s="4780"/>
      <c r="J412" s="4780"/>
      <c r="K412" s="4757" t="str">
        <f>J409&amp;".2"</f>
        <v>15.1.1.1.1.2</v>
      </c>
      <c r="L412" s="1968"/>
      <c r="M412" s="1969"/>
      <c r="N412" s="1969"/>
      <c r="O412" s="1969"/>
      <c r="P412" s="4758"/>
      <c r="Q412" s="4758"/>
      <c r="R412" s="1971" t="s">
        <v>102</v>
      </c>
      <c r="S412" s="1972" t="str">
        <f>$K412</f>
        <v>15.1.1.1.1.2</v>
      </c>
      <c r="T412" s="1973" t="s">
        <v>658</v>
      </c>
      <c r="U412" s="1974"/>
      <c r="V412" s="1975"/>
      <c r="W412" s="1975"/>
      <c r="X412" s="1976"/>
      <c r="Y412" s="4762"/>
      <c r="Z412" s="4608" t="s">
        <v>65</v>
      </c>
      <c r="AA412" s="4762"/>
      <c r="AB412" s="4608" t="s">
        <v>65</v>
      </c>
      <c r="AC412" s="1975">
        <v>12.53</v>
      </c>
      <c r="AD412" s="1975"/>
      <c r="AE412" s="1976"/>
      <c r="AF412" s="4762">
        <v>45474</v>
      </c>
      <c r="AG412" s="4608" t="s">
        <v>65</v>
      </c>
      <c r="AH412" s="4781">
        <v>45657</v>
      </c>
      <c r="AI412" s="4608" t="s">
        <v>65</v>
      </c>
      <c r="AJ412" s="1977"/>
      <c r="AK41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2" s="1978" t="e">
        <f ca="1">STRCHECKDATE(V413:AJ413)</f>
        <v>#NAME?</v>
      </c>
      <c r="AM412" s="1979"/>
      <c r="AN412" s="1979" t="str">
        <f t="shared" si="6"/>
        <v>Население (с учетом НДС)</v>
      </c>
      <c r="AO412" s="1979"/>
      <c r="AP412" s="1979"/>
    </row>
    <row r="413" spans="1:42" s="3602" customFormat="1" ht="14.25" customHeight="1">
      <c r="A413" s="1967"/>
      <c r="B413" s="1967"/>
      <c r="C413" s="1967"/>
      <c r="D413" s="1967"/>
      <c r="E413" s="4760"/>
      <c r="F413" s="4760"/>
      <c r="G413" s="4760"/>
      <c r="H413" s="4760"/>
      <c r="I413" s="4780"/>
      <c r="J413" s="4780"/>
      <c r="K413" s="4757" t="str">
        <f>J409&amp;".1"</f>
        <v>15.1.1.1.1.1</v>
      </c>
      <c r="L413" s="1968"/>
      <c r="M413" s="1969"/>
      <c r="N413" s="1969"/>
      <c r="O413" s="1969"/>
      <c r="P413" s="4758"/>
      <c r="Q413" s="4758"/>
      <c r="R413" s="1981"/>
      <c r="S413" s="1982"/>
      <c r="T413" s="1974"/>
      <c r="U413" s="1974"/>
      <c r="V413" s="1983"/>
      <c r="W413" s="1983"/>
      <c r="X413" s="1984" t="str">
        <f>Y412&amp;"-"&amp;AA412</f>
        <v>-</v>
      </c>
      <c r="Y413" s="4763"/>
      <c r="Z413" s="4608"/>
      <c r="AA413" s="4763"/>
      <c r="AB413" s="4608"/>
      <c r="AC413" s="1983"/>
      <c r="AD413" s="1983"/>
      <c r="AE413" s="1984" t="str">
        <f>AF412&amp;"-"&amp;AH412</f>
        <v>45474-45657</v>
      </c>
      <c r="AF413" s="4763"/>
      <c r="AG413" s="4608"/>
      <c r="AH413" s="4782"/>
      <c r="AI413" s="4608"/>
      <c r="AJ413" s="1985"/>
      <c r="AK413" s="4817"/>
      <c r="AL413" s="1978"/>
      <c r="AM413" s="1979"/>
      <c r="AN413" s="1979" t="str">
        <f t="shared" si="6"/>
        <v/>
      </c>
      <c r="AO413" s="1979"/>
      <c r="AP413" s="1979"/>
    </row>
    <row r="414" spans="1:42" s="3603" customFormat="1" ht="21" customHeight="1">
      <c r="A414" s="1967"/>
      <c r="B414" s="1967"/>
      <c r="C414" s="1967"/>
      <c r="D414" s="1967"/>
      <c r="E414" s="4760" t="s">
        <v>212</v>
      </c>
      <c r="F414" s="4760"/>
      <c r="G414" s="4760"/>
      <c r="H414" s="4760"/>
      <c r="I414" s="4780"/>
      <c r="J414" s="4757"/>
      <c r="K414" s="1967"/>
      <c r="L414" s="1968"/>
      <c r="M414" s="1969"/>
      <c r="N414" s="1969"/>
      <c r="O414" s="1969"/>
      <c r="P414" s="4758"/>
      <c r="Q414" s="4758"/>
      <c r="R414" s="1994"/>
      <c r="S414" s="3604"/>
      <c r="T414" s="3605" t="s">
        <v>624</v>
      </c>
      <c r="U414" s="3606"/>
      <c r="V414" s="3607"/>
      <c r="W414" s="3608"/>
      <c r="X414" s="3609"/>
      <c r="Y414" s="3610"/>
      <c r="Z414" s="3611"/>
      <c r="AA414" s="3612"/>
      <c r="AB414" s="3613"/>
      <c r="AC414" s="3614"/>
      <c r="AD414" s="3615"/>
      <c r="AE414" s="3616"/>
      <c r="AF414" s="3617"/>
      <c r="AG414" s="3618"/>
      <c r="AH414" s="3619"/>
      <c r="AI414" s="3620"/>
      <c r="AJ414" s="3621"/>
      <c r="AK414" s="2013" t="s">
        <v>625</v>
      </c>
      <c r="AL414" s="1978"/>
      <c r="AM414" s="1979"/>
      <c r="AN414" s="1979" t="str">
        <f t="shared" si="6"/>
        <v>Добавить значение признака дифференциации</v>
      </c>
      <c r="AO414" s="1979"/>
      <c r="AP414" s="1979"/>
    </row>
    <row r="415" spans="1:42" s="3622" customFormat="1" ht="23.25" customHeight="1">
      <c r="A415" s="1967"/>
      <c r="B415" s="1967"/>
      <c r="C415" s="1967"/>
      <c r="D415" s="1967"/>
      <c r="E415" s="4760"/>
      <c r="F415" s="4760"/>
      <c r="G415" s="4760"/>
      <c r="H415" s="4760"/>
      <c r="I415" s="4780"/>
      <c r="J415" s="4757" t="str">
        <f>I408&amp;".2"</f>
        <v>15.1.1.1.2</v>
      </c>
      <c r="K415" s="1967"/>
      <c r="L415" s="1968" t="s">
        <v>547</v>
      </c>
      <c r="M415" s="1969"/>
      <c r="N415" s="1969"/>
      <c r="O415" s="1969"/>
      <c r="P415" s="4758"/>
      <c r="Q415" s="4833" t="s">
        <v>102</v>
      </c>
      <c r="R415" s="1981"/>
      <c r="S415" s="1972" t="str">
        <f>$J415</f>
        <v>15.1.1.1.2</v>
      </c>
      <c r="T415" s="1987" t="s">
        <v>548</v>
      </c>
      <c r="U415" s="1974"/>
      <c r="V415" s="4748"/>
      <c r="W415" s="4749"/>
      <c r="X415" s="4749"/>
      <c r="Y415" s="4749"/>
      <c r="Z415" s="4749"/>
      <c r="AA415" s="4749"/>
      <c r="AB415" s="4750"/>
      <c r="AC415" s="4748" t="s">
        <v>659</v>
      </c>
      <c r="AD415" s="4749"/>
      <c r="AE415" s="4749"/>
      <c r="AF415" s="4749"/>
      <c r="AG415" s="4749"/>
      <c r="AH415" s="4749"/>
      <c r="AI415" s="4749"/>
      <c r="AJ415" s="4750"/>
      <c r="AK415" s="1988" t="s">
        <v>623</v>
      </c>
      <c r="AL415" s="1978"/>
      <c r="AM415" s="1979"/>
      <c r="AN415" s="1979" t="str">
        <f t="shared" si="6"/>
        <v>Группа потребителей</v>
      </c>
      <c r="AO415" s="1979"/>
      <c r="AP415" s="1979"/>
    </row>
    <row r="416" spans="1:42" s="3623" customFormat="1" ht="23.25" customHeight="1">
      <c r="A416" s="1967"/>
      <c r="B416" s="1967"/>
      <c r="C416" s="1967"/>
      <c r="D416" s="1967"/>
      <c r="E416" s="4760"/>
      <c r="F416" s="4760"/>
      <c r="G416" s="4760"/>
      <c r="H416" s="4760"/>
      <c r="I416" s="4780"/>
      <c r="J416" s="4780" t="str">
        <f>I408&amp;".1"</f>
        <v>15.1.1.1.1</v>
      </c>
      <c r="K416" s="4757" t="str">
        <f>J415&amp;".1"</f>
        <v>15.1.1.1.2.1</v>
      </c>
      <c r="L416" s="1968"/>
      <c r="M416" s="1969"/>
      <c r="N416" s="1969"/>
      <c r="O416" s="1969"/>
      <c r="P416" s="4758"/>
      <c r="Q416" s="4758"/>
      <c r="R416" s="1981">
        <v>1</v>
      </c>
      <c r="S416" s="1972" t="str">
        <f>$K416</f>
        <v>15.1.1.1.2.1</v>
      </c>
      <c r="T416" s="1973" t="s">
        <v>660</v>
      </c>
      <c r="U416" s="1974"/>
      <c r="V416" s="1975"/>
      <c r="W416" s="1975"/>
      <c r="X416" s="1976"/>
      <c r="Y416" s="4762"/>
      <c r="Z416" s="4608" t="s">
        <v>65</v>
      </c>
      <c r="AA416" s="4762"/>
      <c r="AB416" s="4608" t="s">
        <v>65</v>
      </c>
      <c r="AC416" s="1975">
        <v>9.58</v>
      </c>
      <c r="AD416" s="1975"/>
      <c r="AE416" s="1976"/>
      <c r="AF416" s="4762">
        <v>45292</v>
      </c>
      <c r="AG416" s="4608" t="s">
        <v>65</v>
      </c>
      <c r="AH416" s="4781">
        <v>45473</v>
      </c>
      <c r="AI416" s="4608" t="s">
        <v>65</v>
      </c>
      <c r="AJ416" s="1977"/>
      <c r="AK41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6" s="1978" t="e">
        <f ca="1">STRCHECKDATE(V417:AJ417)</f>
        <v>#NAME?</v>
      </c>
      <c r="AM416" s="1979"/>
      <c r="AN416" s="1979" t="str">
        <f t="shared" si="6"/>
        <v>Потребители, кроме населения (без учета НДС)</v>
      </c>
      <c r="AO416" s="1979"/>
      <c r="AP416" s="1979"/>
    </row>
    <row r="417" spans="1:42" s="3624" customFormat="1" ht="14.25" customHeight="1">
      <c r="A417" s="1967"/>
      <c r="B417" s="1967"/>
      <c r="C417" s="1967"/>
      <c r="D417" s="1967"/>
      <c r="E417" s="4760"/>
      <c r="F417" s="4760"/>
      <c r="G417" s="4760"/>
      <c r="H417" s="4760"/>
      <c r="I417" s="4780"/>
      <c r="J417" s="4780" t="str">
        <f>I408&amp;".1"</f>
        <v>15.1.1.1.1</v>
      </c>
      <c r="K417" s="4757"/>
      <c r="L417" s="1968"/>
      <c r="M417" s="1969"/>
      <c r="N417" s="1969"/>
      <c r="O417" s="1969"/>
      <c r="P417" s="4758"/>
      <c r="Q417" s="4758"/>
      <c r="R417" s="1981"/>
      <c r="S417" s="1982"/>
      <c r="T417" s="1974"/>
      <c r="U417" s="1974"/>
      <c r="V417" s="1983"/>
      <c r="W417" s="1983"/>
      <c r="X417" s="1984" t="str">
        <f>Y416&amp;"-"&amp;AA416</f>
        <v>-</v>
      </c>
      <c r="Y417" s="4763"/>
      <c r="Z417" s="4608"/>
      <c r="AA417" s="4763"/>
      <c r="AB417" s="4608"/>
      <c r="AC417" s="1983"/>
      <c r="AD417" s="1983"/>
      <c r="AE417" s="1984" t="str">
        <f>AF416&amp;"-"&amp;AH416</f>
        <v>45292-45473</v>
      </c>
      <c r="AF417" s="4763"/>
      <c r="AG417" s="4608"/>
      <c r="AH417" s="4782"/>
      <c r="AI417" s="4608"/>
      <c r="AJ417" s="1985"/>
      <c r="AK417" s="4817"/>
      <c r="AL417" s="1978"/>
      <c r="AM417" s="1979"/>
      <c r="AN417" s="1979" t="str">
        <f t="shared" si="6"/>
        <v/>
      </c>
      <c r="AO417" s="1979"/>
      <c r="AP417" s="1979"/>
    </row>
    <row r="418" spans="1:42" s="3625" customFormat="1" ht="23.25" customHeight="1">
      <c r="A418" s="1967"/>
      <c r="B418" s="1967"/>
      <c r="C418" s="1967"/>
      <c r="D418" s="1967"/>
      <c r="E418" s="4760"/>
      <c r="F418" s="4760"/>
      <c r="G418" s="4760"/>
      <c r="H418" s="4760"/>
      <c r="I418" s="4780"/>
      <c r="J418" s="4780"/>
      <c r="K418" s="4757" t="str">
        <f>J415&amp;".2"</f>
        <v>15.1.1.1.2.2</v>
      </c>
      <c r="L418" s="1968"/>
      <c r="M418" s="1969"/>
      <c r="N418" s="1969"/>
      <c r="O418" s="1969"/>
      <c r="P418" s="4758"/>
      <c r="Q418" s="4758"/>
      <c r="R418" s="1971" t="s">
        <v>102</v>
      </c>
      <c r="S418" s="1972" t="str">
        <f>$K418</f>
        <v>15.1.1.1.2.2</v>
      </c>
      <c r="T418" s="1973" t="s">
        <v>660</v>
      </c>
      <c r="U418" s="1974"/>
      <c r="V418" s="1975"/>
      <c r="W418" s="1975"/>
      <c r="X418" s="1976"/>
      <c r="Y418" s="4762"/>
      <c r="Z418" s="4608" t="s">
        <v>65</v>
      </c>
      <c r="AA418" s="4762"/>
      <c r="AB418" s="4608" t="s">
        <v>65</v>
      </c>
      <c r="AC418" s="1975">
        <v>54.64</v>
      </c>
      <c r="AD418" s="1975"/>
      <c r="AE418" s="1976"/>
      <c r="AF418" s="4762">
        <v>45474</v>
      </c>
      <c r="AG418" s="4608" t="s">
        <v>65</v>
      </c>
      <c r="AH418" s="4781">
        <v>45657</v>
      </c>
      <c r="AI418" s="4608" t="s">
        <v>65</v>
      </c>
      <c r="AJ418" s="1977"/>
      <c r="AK41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8" s="1978" t="e">
        <f ca="1">STRCHECKDATE(V419:AJ419)</f>
        <v>#NAME?</v>
      </c>
      <c r="AM418" s="1979"/>
      <c r="AN418" s="1979" t="str">
        <f t="shared" si="6"/>
        <v>Потребители, кроме населения (без учета НДС)</v>
      </c>
      <c r="AO418" s="1979"/>
      <c r="AP418" s="1979"/>
    </row>
    <row r="419" spans="1:42" s="3626" customFormat="1" ht="14.25" customHeight="1">
      <c r="A419" s="1967"/>
      <c r="B419" s="1967"/>
      <c r="C419" s="1967"/>
      <c r="D419" s="1967"/>
      <c r="E419" s="4760"/>
      <c r="F419" s="4760"/>
      <c r="G419" s="4760"/>
      <c r="H419" s="4760"/>
      <c r="I419" s="4780"/>
      <c r="J419" s="4780"/>
      <c r="K419" s="4757" t="str">
        <f>J415&amp;".1"</f>
        <v>15.1.1.1.2.1</v>
      </c>
      <c r="L419" s="1968"/>
      <c r="M419" s="1969"/>
      <c r="N419" s="1969"/>
      <c r="O419" s="1969"/>
      <c r="P419" s="4758"/>
      <c r="Q419" s="4758"/>
      <c r="R419" s="1981"/>
      <c r="S419" s="1982"/>
      <c r="T419" s="1974"/>
      <c r="U419" s="1974"/>
      <c r="V419" s="1983"/>
      <c r="W419" s="1983"/>
      <c r="X419" s="1984" t="str">
        <f>Y418&amp;"-"&amp;AA418</f>
        <v>-</v>
      </c>
      <c r="Y419" s="4763"/>
      <c r="Z419" s="4608"/>
      <c r="AA419" s="4763"/>
      <c r="AB419" s="4608"/>
      <c r="AC419" s="1983"/>
      <c r="AD419" s="1983"/>
      <c r="AE419" s="1984" t="str">
        <f>AF418&amp;"-"&amp;AH418</f>
        <v>45474-45657</v>
      </c>
      <c r="AF419" s="4763"/>
      <c r="AG419" s="4608"/>
      <c r="AH419" s="4782"/>
      <c r="AI419" s="4608"/>
      <c r="AJ419" s="1985"/>
      <c r="AK419" s="4817"/>
      <c r="AL419" s="1978"/>
      <c r="AM419" s="1979"/>
      <c r="AN419" s="1979" t="str">
        <f t="shared" si="6"/>
        <v/>
      </c>
      <c r="AO419" s="1979"/>
      <c r="AP419" s="1979"/>
    </row>
    <row r="420" spans="1:42" s="3627" customFormat="1" ht="21" customHeight="1">
      <c r="A420" s="1967"/>
      <c r="B420" s="1967"/>
      <c r="C420" s="1967"/>
      <c r="D420" s="1967"/>
      <c r="E420" s="4760"/>
      <c r="F420" s="4760"/>
      <c r="G420" s="4760"/>
      <c r="H420" s="4760"/>
      <c r="I420" s="4780"/>
      <c r="J420" s="4757" t="str">
        <f>I408&amp;".1"</f>
        <v>15.1.1.1.1</v>
      </c>
      <c r="K420" s="1967"/>
      <c r="L420" s="1968"/>
      <c r="M420" s="1969"/>
      <c r="N420" s="1969"/>
      <c r="O420" s="1969"/>
      <c r="P420" s="4758"/>
      <c r="Q420" s="4758"/>
      <c r="R420" s="1994"/>
      <c r="S420" s="3628"/>
      <c r="T420" s="3629" t="s">
        <v>624</v>
      </c>
      <c r="U420" s="3630"/>
      <c r="V420" s="3631"/>
      <c r="W420" s="3632"/>
      <c r="X420" s="3633"/>
      <c r="Y420" s="3634"/>
      <c r="Z420" s="3635"/>
      <c r="AA420" s="3636"/>
      <c r="AB420" s="3637"/>
      <c r="AC420" s="3638"/>
      <c r="AD420" s="3639"/>
      <c r="AE420" s="3640"/>
      <c r="AF420" s="3641"/>
      <c r="AG420" s="3642"/>
      <c r="AH420" s="3643"/>
      <c r="AI420" s="3644"/>
      <c r="AJ420" s="3645"/>
      <c r="AK420" s="2013" t="s">
        <v>625</v>
      </c>
      <c r="AL420" s="1978"/>
      <c r="AM420" s="1979"/>
      <c r="AN420" s="1979" t="str">
        <f t="shared" si="6"/>
        <v>Добавить значение признака дифференциации</v>
      </c>
      <c r="AO420" s="1979"/>
      <c r="AP420" s="1979"/>
    </row>
    <row r="421" spans="1:42" s="3646" customFormat="1" ht="23.25" customHeight="1">
      <c r="A421" s="1967"/>
      <c r="B421" s="1967"/>
      <c r="C421" s="1967"/>
      <c r="D421" s="1967"/>
      <c r="E421" s="4760"/>
      <c r="F421" s="4760"/>
      <c r="G421" s="4760"/>
      <c r="H421" s="4760"/>
      <c r="I421" s="4780"/>
      <c r="J421" s="4757" t="str">
        <f>I408&amp;".3"</f>
        <v>15.1.1.1.3</v>
      </c>
      <c r="K421" s="1967"/>
      <c r="L421" s="1968" t="s">
        <v>547</v>
      </c>
      <c r="M421" s="1969"/>
      <c r="N421" s="1969"/>
      <c r="O421" s="1969"/>
      <c r="P421" s="4758"/>
      <c r="Q421" s="4833" t="s">
        <v>102</v>
      </c>
      <c r="R421" s="1981"/>
      <c r="S421" s="1972" t="str">
        <f>$J421</f>
        <v>15.1.1.1.3</v>
      </c>
      <c r="T421" s="1987" t="s">
        <v>548</v>
      </c>
      <c r="U421" s="1974"/>
      <c r="V421" s="4748"/>
      <c r="W421" s="4749"/>
      <c r="X421" s="4749"/>
      <c r="Y421" s="4749"/>
      <c r="Z421" s="4749"/>
      <c r="AA421" s="4749"/>
      <c r="AB421" s="4750"/>
      <c r="AC421" s="4748" t="s">
        <v>661</v>
      </c>
      <c r="AD421" s="4749"/>
      <c r="AE421" s="4749"/>
      <c r="AF421" s="4749"/>
      <c r="AG421" s="4749"/>
      <c r="AH421" s="4749"/>
      <c r="AI421" s="4749"/>
      <c r="AJ421" s="4750"/>
      <c r="AK421" s="1988" t="s">
        <v>623</v>
      </c>
      <c r="AL421" s="1978"/>
      <c r="AM421" s="1979"/>
      <c r="AN421" s="1979" t="str">
        <f t="shared" si="6"/>
        <v>Группа потребителей</v>
      </c>
      <c r="AO421" s="1979"/>
      <c r="AP421" s="1979"/>
    </row>
    <row r="422" spans="1:42" s="3647" customFormat="1" ht="23.25" customHeight="1">
      <c r="A422" s="1967"/>
      <c r="B422" s="1967"/>
      <c r="C422" s="1967"/>
      <c r="D422" s="1967"/>
      <c r="E422" s="4760"/>
      <c r="F422" s="4760"/>
      <c r="G422" s="4760"/>
      <c r="H422" s="4760"/>
      <c r="I422" s="4780"/>
      <c r="J422" s="4780" t="str">
        <f>I408&amp;".2"</f>
        <v>15.1.1.1.2</v>
      </c>
      <c r="K422" s="4757" t="str">
        <f>J421&amp;".1"</f>
        <v>15.1.1.1.3.1</v>
      </c>
      <c r="L422" s="1968"/>
      <c r="M422" s="1969"/>
      <c r="N422" s="1969"/>
      <c r="O422" s="1969"/>
      <c r="P422" s="4758"/>
      <c r="Q422" s="4758"/>
      <c r="R422" s="1981">
        <v>1</v>
      </c>
      <c r="S422" s="1972" t="str">
        <f>$K422</f>
        <v>15.1.1.1.3.1</v>
      </c>
      <c r="T422" s="1973" t="s">
        <v>660</v>
      </c>
      <c r="U422" s="1974"/>
      <c r="V422" s="1975"/>
      <c r="W422" s="1975"/>
      <c r="X422" s="1976"/>
      <c r="Y422" s="4762"/>
      <c r="Z422" s="4608" t="s">
        <v>65</v>
      </c>
      <c r="AA422" s="4762"/>
      <c r="AB422" s="4608" t="s">
        <v>65</v>
      </c>
      <c r="AC422" s="1975">
        <v>9.58</v>
      </c>
      <c r="AD422" s="1975"/>
      <c r="AE422" s="1976"/>
      <c r="AF422" s="4762">
        <v>45292</v>
      </c>
      <c r="AG422" s="4608" t="s">
        <v>65</v>
      </c>
      <c r="AH422" s="4781">
        <v>45473</v>
      </c>
      <c r="AI422" s="4608" t="s">
        <v>65</v>
      </c>
      <c r="AJ422" s="1977"/>
      <c r="AK42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2" s="1978" t="e">
        <f ca="1">STRCHECKDATE(V423:AJ423)</f>
        <v>#NAME?</v>
      </c>
      <c r="AM422" s="1979"/>
      <c r="AN422" s="1979" t="str">
        <f t="shared" si="6"/>
        <v>Потребители, кроме населения (без учета НДС)</v>
      </c>
      <c r="AO422" s="1979"/>
      <c r="AP422" s="1979"/>
    </row>
    <row r="423" spans="1:42" s="3648" customFormat="1" ht="14.25" customHeight="1">
      <c r="A423" s="1967"/>
      <c r="B423" s="1967"/>
      <c r="C423" s="1967"/>
      <c r="D423" s="1967"/>
      <c r="E423" s="4760"/>
      <c r="F423" s="4760"/>
      <c r="G423" s="4760"/>
      <c r="H423" s="4760"/>
      <c r="I423" s="4780"/>
      <c r="J423" s="4780" t="str">
        <f>I408&amp;".2"</f>
        <v>15.1.1.1.2</v>
      </c>
      <c r="K423" s="4757"/>
      <c r="L423" s="1968"/>
      <c r="M423" s="1969"/>
      <c r="N423" s="1969"/>
      <c r="O423" s="1969"/>
      <c r="P423" s="4758"/>
      <c r="Q423" s="4758"/>
      <c r="R423" s="1981"/>
      <c r="S423" s="1982"/>
      <c r="T423" s="1974"/>
      <c r="U423" s="1974"/>
      <c r="V423" s="1983"/>
      <c r="W423" s="1983"/>
      <c r="X423" s="1984" t="str">
        <f>Y422&amp;"-"&amp;AA422</f>
        <v>-</v>
      </c>
      <c r="Y423" s="4763"/>
      <c r="Z423" s="4608"/>
      <c r="AA423" s="4763"/>
      <c r="AB423" s="4608"/>
      <c r="AC423" s="1983"/>
      <c r="AD423" s="1983"/>
      <c r="AE423" s="1984" t="str">
        <f>AF422&amp;"-"&amp;AH422</f>
        <v>45292-45473</v>
      </c>
      <c r="AF423" s="4763"/>
      <c r="AG423" s="4608"/>
      <c r="AH423" s="4782"/>
      <c r="AI423" s="4608"/>
      <c r="AJ423" s="1985"/>
      <c r="AK423" s="4817"/>
      <c r="AL423" s="1978"/>
      <c r="AM423" s="1979"/>
      <c r="AN423" s="1979" t="str">
        <f t="shared" si="6"/>
        <v/>
      </c>
      <c r="AO423" s="1979"/>
      <c r="AP423" s="1979"/>
    </row>
    <row r="424" spans="1:42" s="3649" customFormat="1" ht="23.25" customHeight="1">
      <c r="A424" s="1967"/>
      <c r="B424" s="1967"/>
      <c r="C424" s="1967"/>
      <c r="D424" s="1967"/>
      <c r="E424" s="4760"/>
      <c r="F424" s="4760"/>
      <c r="G424" s="4760"/>
      <c r="H424" s="4760"/>
      <c r="I424" s="4780"/>
      <c r="J424" s="4780"/>
      <c r="K424" s="4757" t="str">
        <f>J421&amp;".2"</f>
        <v>15.1.1.1.3.2</v>
      </c>
      <c r="L424" s="1968"/>
      <c r="M424" s="1969"/>
      <c r="N424" s="1969"/>
      <c r="O424" s="1969"/>
      <c r="P424" s="4758"/>
      <c r="Q424" s="4758"/>
      <c r="R424" s="1971" t="s">
        <v>102</v>
      </c>
      <c r="S424" s="1972" t="str">
        <f>$K424</f>
        <v>15.1.1.1.3.2</v>
      </c>
      <c r="T424" s="1973" t="s">
        <v>660</v>
      </c>
      <c r="U424" s="1974"/>
      <c r="V424" s="1975"/>
      <c r="W424" s="1975"/>
      <c r="X424" s="1976"/>
      <c r="Y424" s="4762"/>
      <c r="Z424" s="4608" t="s">
        <v>65</v>
      </c>
      <c r="AA424" s="4762"/>
      <c r="AB424" s="4608" t="s">
        <v>65</v>
      </c>
      <c r="AC424" s="1975">
        <v>54.64</v>
      </c>
      <c r="AD424" s="1975"/>
      <c r="AE424" s="1976"/>
      <c r="AF424" s="4762">
        <v>45474</v>
      </c>
      <c r="AG424" s="4608" t="s">
        <v>65</v>
      </c>
      <c r="AH424" s="4781">
        <v>45657</v>
      </c>
      <c r="AI424" s="4608" t="s">
        <v>65</v>
      </c>
      <c r="AJ424" s="1977"/>
      <c r="AK42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4" s="1978" t="e">
        <f ca="1">STRCHECKDATE(V425:AJ425)</f>
        <v>#NAME?</v>
      </c>
      <c r="AM424" s="1979"/>
      <c r="AN424" s="1979" t="str">
        <f t="shared" si="6"/>
        <v>Потребители, кроме населения (без учета НДС)</v>
      </c>
      <c r="AO424" s="1979"/>
      <c r="AP424" s="1979"/>
    </row>
    <row r="425" spans="1:42" s="3650" customFormat="1" ht="14.25" customHeight="1">
      <c r="A425" s="1967"/>
      <c r="B425" s="1967"/>
      <c r="C425" s="1967"/>
      <c r="D425" s="1967"/>
      <c r="E425" s="4760"/>
      <c r="F425" s="4760"/>
      <c r="G425" s="4760"/>
      <c r="H425" s="4760"/>
      <c r="I425" s="4780"/>
      <c r="J425" s="4780"/>
      <c r="K425" s="4757" t="str">
        <f>J421&amp;".1"</f>
        <v>15.1.1.1.3.1</v>
      </c>
      <c r="L425" s="1968"/>
      <c r="M425" s="1969"/>
      <c r="N425" s="1969"/>
      <c r="O425" s="1969"/>
      <c r="P425" s="4758"/>
      <c r="Q425" s="4758"/>
      <c r="R425" s="1981"/>
      <c r="S425" s="1982"/>
      <c r="T425" s="1974"/>
      <c r="U425" s="1974"/>
      <c r="V425" s="1983"/>
      <c r="W425" s="1983"/>
      <c r="X425" s="1984" t="str">
        <f>Y424&amp;"-"&amp;AA424</f>
        <v>-</v>
      </c>
      <c r="Y425" s="4763"/>
      <c r="Z425" s="4608"/>
      <c r="AA425" s="4763"/>
      <c r="AB425" s="4608"/>
      <c r="AC425" s="1983"/>
      <c r="AD425" s="1983"/>
      <c r="AE425" s="1984" t="str">
        <f>AF424&amp;"-"&amp;AH424</f>
        <v>45474-45657</v>
      </c>
      <c r="AF425" s="4763"/>
      <c r="AG425" s="4608"/>
      <c r="AH425" s="4782"/>
      <c r="AI425" s="4608"/>
      <c r="AJ425" s="1985"/>
      <c r="AK425" s="4817"/>
      <c r="AL425" s="1978"/>
      <c r="AM425" s="1979"/>
      <c r="AN425" s="1979" t="str">
        <f t="shared" ref="AN425:AN488" si="7">IF(T425="","",T425)</f>
        <v/>
      </c>
      <c r="AO425" s="1979"/>
      <c r="AP425" s="1979"/>
    </row>
    <row r="426" spans="1:42" s="3651" customFormat="1" ht="21" customHeight="1">
      <c r="A426" s="1967"/>
      <c r="B426" s="1967"/>
      <c r="C426" s="1967"/>
      <c r="D426" s="1967"/>
      <c r="E426" s="4760"/>
      <c r="F426" s="4760"/>
      <c r="G426" s="4760"/>
      <c r="H426" s="4760"/>
      <c r="I426" s="4780"/>
      <c r="J426" s="4757" t="str">
        <f>I408&amp;".2"</f>
        <v>15.1.1.1.2</v>
      </c>
      <c r="K426" s="1967"/>
      <c r="L426" s="1968"/>
      <c r="M426" s="1969"/>
      <c r="N426" s="1969"/>
      <c r="O426" s="1969"/>
      <c r="P426" s="4758"/>
      <c r="Q426" s="4758"/>
      <c r="R426" s="1994"/>
      <c r="S426" s="3652"/>
      <c r="T426" s="3653" t="s">
        <v>624</v>
      </c>
      <c r="U426" s="3654"/>
      <c r="V426" s="3655"/>
      <c r="W426" s="3656"/>
      <c r="X426" s="3657"/>
      <c r="Y426" s="3658"/>
      <c r="Z426" s="3659"/>
      <c r="AA426" s="3660"/>
      <c r="AB426" s="3661"/>
      <c r="AC426" s="3662"/>
      <c r="AD426" s="3663"/>
      <c r="AE426" s="3664"/>
      <c r="AF426" s="3665"/>
      <c r="AG426" s="3666"/>
      <c r="AH426" s="3667"/>
      <c r="AI426" s="3668"/>
      <c r="AJ426" s="3669"/>
      <c r="AK426" s="2013" t="s">
        <v>625</v>
      </c>
      <c r="AL426" s="1978"/>
      <c r="AM426" s="1979"/>
      <c r="AN426" s="1979" t="str">
        <f t="shared" si="7"/>
        <v>Добавить значение признака дифференциации</v>
      </c>
      <c r="AO426" s="1979"/>
      <c r="AP426" s="1979"/>
    </row>
    <row r="427" spans="1:42" s="3670" customFormat="1" ht="21" customHeight="1">
      <c r="A427" s="1967"/>
      <c r="B427" s="1967"/>
      <c r="C427" s="1967"/>
      <c r="D427" s="1967"/>
      <c r="E427" s="4760" t="s">
        <v>212</v>
      </c>
      <c r="F427" s="4760"/>
      <c r="G427" s="4760"/>
      <c r="H427" s="4760"/>
      <c r="I427" s="4757"/>
      <c r="J427" s="1967"/>
      <c r="K427" s="1967"/>
      <c r="L427" s="1968"/>
      <c r="M427" s="1969"/>
      <c r="N427" s="1969"/>
      <c r="O427" s="1969"/>
      <c r="P427" s="4758"/>
      <c r="Q427" s="1970"/>
      <c r="R427" s="1994"/>
      <c r="S427" s="3671"/>
      <c r="T427" s="3672" t="s">
        <v>553</v>
      </c>
      <c r="U427" s="3673"/>
      <c r="V427" s="3674"/>
      <c r="W427" s="3675"/>
      <c r="X427" s="3676"/>
      <c r="Y427" s="3677"/>
      <c r="Z427" s="3678"/>
      <c r="AA427" s="3679"/>
      <c r="AB427" s="3680"/>
      <c r="AC427" s="3681"/>
      <c r="AD427" s="3682"/>
      <c r="AE427" s="3683"/>
      <c r="AF427" s="3684"/>
      <c r="AG427" s="3685"/>
      <c r="AH427" s="3686"/>
      <c r="AI427" s="3687"/>
      <c r="AJ427" s="3688"/>
      <c r="AK427" s="3689"/>
      <c r="AL427" s="1978"/>
      <c r="AM427" s="1979"/>
      <c r="AN427" s="1979" t="str">
        <f t="shared" si="7"/>
        <v>Добавить группу потребителей</v>
      </c>
      <c r="AO427" s="1979"/>
      <c r="AP427" s="1979"/>
    </row>
    <row r="428" spans="1:42" s="3690" customFormat="1" ht="21" customHeight="1">
      <c r="A428" s="1967"/>
      <c r="B428" s="1967"/>
      <c r="C428" s="1967"/>
      <c r="D428" s="1967"/>
      <c r="E428" s="4760" t="s">
        <v>212</v>
      </c>
      <c r="F428" s="4760"/>
      <c r="G428" s="4760"/>
      <c r="H428" s="4759"/>
      <c r="I428" s="1967"/>
      <c r="J428" s="1967"/>
      <c r="K428" s="1967"/>
      <c r="L428" s="1968"/>
      <c r="M428" s="2039"/>
      <c r="N428" s="2039"/>
      <c r="O428" s="2147"/>
      <c r="P428" s="2041"/>
      <c r="Q428" s="2148"/>
      <c r="R428" s="2042"/>
      <c r="S428" s="3691"/>
      <c r="T428" s="3692" t="s">
        <v>626</v>
      </c>
      <c r="U428" s="3693"/>
      <c r="V428" s="3694"/>
      <c r="W428" s="3695"/>
      <c r="X428" s="3696"/>
      <c r="Y428" s="3697"/>
      <c r="Z428" s="3698"/>
      <c r="AA428" s="3699"/>
      <c r="AB428" s="3700"/>
      <c r="AC428" s="3701"/>
      <c r="AD428" s="3702"/>
      <c r="AE428" s="3703"/>
      <c r="AF428" s="3704"/>
      <c r="AG428" s="3705"/>
      <c r="AH428" s="3706"/>
      <c r="AI428" s="3707"/>
      <c r="AJ428" s="3708"/>
      <c r="AK428" s="3709"/>
      <c r="AL428" s="1978"/>
      <c r="AM428" s="1979"/>
      <c r="AN428" s="1979" t="str">
        <f t="shared" si="7"/>
        <v>Добавить наименование признака дифференциации</v>
      </c>
      <c r="AO428" s="1979"/>
      <c r="AP428" s="1979"/>
    </row>
    <row r="429" spans="1:42" s="3710" customFormat="1" ht="14.25" customHeight="1">
      <c r="A429" s="2169"/>
      <c r="B429" s="2169"/>
      <c r="C429" s="2169"/>
      <c r="D429" s="2169"/>
      <c r="E429" s="4760" t="s">
        <v>212</v>
      </c>
      <c r="F429" s="4759"/>
      <c r="G429" s="2169"/>
      <c r="H429" s="2169"/>
      <c r="I429" s="2169"/>
      <c r="J429" s="2169"/>
      <c r="K429" s="2169"/>
      <c r="L429" s="2170"/>
      <c r="M429" s="2171"/>
      <c r="N429" s="2171"/>
      <c r="O429" s="1978"/>
      <c r="P429" s="2172"/>
      <c r="Q429" s="2173"/>
      <c r="R429" s="2172"/>
      <c r="S429" s="2174"/>
      <c r="T429" s="2175" t="s">
        <v>316</v>
      </c>
      <c r="U429" s="2176"/>
      <c r="V429" s="2176"/>
      <c r="W429" s="2176"/>
      <c r="X429" s="2176"/>
      <c r="Y429" s="2176"/>
      <c r="Z429" s="2176"/>
      <c r="AA429" s="2176"/>
      <c r="AB429" s="2176"/>
      <c r="AC429" s="2176"/>
      <c r="AD429" s="2176"/>
      <c r="AE429" s="2176"/>
      <c r="AF429" s="2176"/>
      <c r="AG429" s="2176"/>
      <c r="AH429" s="2176"/>
      <c r="AI429" s="2176"/>
      <c r="AJ429" s="2176"/>
      <c r="AK429" s="2176"/>
      <c r="AL429" s="1978"/>
      <c r="AM429" s="1979"/>
      <c r="AN429" s="1979" t="str">
        <f t="shared" si="7"/>
        <v>Добавить централизованную систему для дифференциации</v>
      </c>
      <c r="AO429" s="1979"/>
      <c r="AP429" s="1979"/>
    </row>
    <row r="430" spans="1:42" s="3711" customFormat="1" ht="14.25" customHeight="1">
      <c r="A430" s="2169"/>
      <c r="B430" s="2169"/>
      <c r="C430" s="2169"/>
      <c r="D430" s="2169"/>
      <c r="E430" s="4759" t="s">
        <v>212</v>
      </c>
      <c r="F430" s="2169"/>
      <c r="G430" s="2169"/>
      <c r="H430" s="2169"/>
      <c r="I430" s="2169"/>
      <c r="J430" s="2169"/>
      <c r="K430" s="2169"/>
      <c r="L430" s="2170"/>
      <c r="M430" s="2171"/>
      <c r="N430" s="2171"/>
      <c r="O430" s="1978"/>
      <c r="P430" s="2172"/>
      <c r="Q430" s="2173"/>
      <c r="R430" s="2172"/>
      <c r="S430" s="2174"/>
      <c r="T430" s="2175" t="s">
        <v>317</v>
      </c>
      <c r="U430" s="2176"/>
      <c r="V430" s="2176"/>
      <c r="W430" s="2176"/>
      <c r="X430" s="2176"/>
      <c r="Y430" s="2176"/>
      <c r="Z430" s="2176"/>
      <c r="AA430" s="2176"/>
      <c r="AB430" s="2176"/>
      <c r="AC430" s="2176"/>
      <c r="AD430" s="2176"/>
      <c r="AE430" s="2176"/>
      <c r="AF430" s="2176"/>
      <c r="AG430" s="2176"/>
      <c r="AH430" s="2176"/>
      <c r="AI430" s="2176"/>
      <c r="AJ430" s="2176"/>
      <c r="AK430" s="2176"/>
      <c r="AL430" s="1978"/>
      <c r="AM430" s="1979"/>
      <c r="AN430" s="1979" t="str">
        <f t="shared" si="7"/>
        <v>Добавить территорию для дифференциации</v>
      </c>
      <c r="AO430" s="1979"/>
      <c r="AP430" s="1979"/>
    </row>
    <row r="431" spans="1:42" s="3712" customFormat="1" ht="23.25" customHeight="1">
      <c r="A431" s="1967" t="s">
        <v>391</v>
      </c>
      <c r="B431" s="1967"/>
      <c r="C431" s="1967"/>
      <c r="D431" s="1967"/>
      <c r="E431" s="4759" t="s">
        <v>389</v>
      </c>
      <c r="F431" s="1967"/>
      <c r="G431" s="1967"/>
      <c r="H431" s="1967"/>
      <c r="I431" s="1967"/>
      <c r="J431" s="1967"/>
      <c r="K431" s="1967"/>
      <c r="L431" s="1968"/>
      <c r="M431" s="2039"/>
      <c r="N431" s="2039"/>
      <c r="O431" s="2039"/>
      <c r="P431" s="2040"/>
      <c r="Q431" s="2041"/>
      <c r="R431" s="2042"/>
      <c r="S431" s="1972" t="str">
        <f>INDEX(PT_DIFFERENTIATION_NUM_NTAR,MATCH(A431,PT_DIFFERENTIATION_NTAR_ID,0))</f>
        <v>16</v>
      </c>
      <c r="T431" s="2043" t="s">
        <v>185</v>
      </c>
      <c r="U431" s="1974"/>
      <c r="V431" s="4745"/>
      <c r="W431" s="4746"/>
      <c r="X431" s="4746"/>
      <c r="Y431" s="4746"/>
      <c r="Z431" s="4746"/>
      <c r="AA431" s="4746"/>
      <c r="AB431" s="4747"/>
      <c r="AC431" s="4745" t="str">
        <f>INDEX(PT_DIFFERENTIATION_NTAR,MATCH(A431,PT_DIFFERENTIATION_NTAR_ID,0))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AD431" s="4746"/>
      <c r="AE431" s="4746"/>
      <c r="AF431" s="4746"/>
      <c r="AG431" s="4746"/>
      <c r="AH431" s="4746"/>
      <c r="AI431" s="4746"/>
      <c r="AJ431" s="4747"/>
      <c r="AK431"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31" s="1978"/>
      <c r="AM431" s="1979"/>
      <c r="AN431" s="1979" t="str">
        <f t="shared" si="7"/>
        <v>Наименование тарифа</v>
      </c>
      <c r="AO431" s="1979"/>
      <c r="AP431" s="1979"/>
    </row>
    <row r="432" spans="1:42" s="3713" customFormat="1" ht="23.25" customHeight="1">
      <c r="A432" s="1967"/>
      <c r="B432" s="1967" t="s">
        <v>392</v>
      </c>
      <c r="C432" s="1967"/>
      <c r="D432" s="1967"/>
      <c r="E432" s="4760" t="s">
        <v>383</v>
      </c>
      <c r="F432" s="4759">
        <v>1</v>
      </c>
      <c r="G432" s="1967"/>
      <c r="H432" s="1967"/>
      <c r="I432" s="1967"/>
      <c r="J432" s="1967"/>
      <c r="K432" s="1967"/>
      <c r="L432" s="1968"/>
      <c r="M432" s="2039"/>
      <c r="N432" s="2039"/>
      <c r="O432" s="2039"/>
      <c r="P432" s="2045"/>
      <c r="Q432" s="2046"/>
      <c r="R432" s="2047"/>
      <c r="S432" s="1972" t="str">
        <f>INDEX(PT_DIFFERENTIATION_NUM_TER,MATCH(B432,PT_DIFFERENTIATION_TER_ID,0))</f>
        <v>16.1</v>
      </c>
      <c r="T432" s="2048" t="s">
        <v>538</v>
      </c>
      <c r="U432" s="1974"/>
      <c r="V432" s="4745"/>
      <c r="W432" s="4746"/>
      <c r="X432" s="4746"/>
      <c r="Y432" s="4746"/>
      <c r="Z432" s="4746"/>
      <c r="AA432" s="4746"/>
      <c r="AB432" s="4747"/>
      <c r="AC432" s="4745" t="str">
        <f>INDEX(PT_DIFFERENTIATION_TER,MATCH(B432,PT_DIFFERENTIATION_TER_ID,0))</f>
        <v>Территория 9</v>
      </c>
      <c r="AD432" s="4746"/>
      <c r="AE432" s="4746"/>
      <c r="AF432" s="4746"/>
      <c r="AG432" s="4746"/>
      <c r="AH432" s="4746"/>
      <c r="AI432" s="4746"/>
      <c r="AJ432" s="4747"/>
      <c r="AK432" s="2013" t="s">
        <v>539</v>
      </c>
      <c r="AL432" s="1978"/>
      <c r="AM432" s="1979"/>
      <c r="AN432" s="1979" t="str">
        <f t="shared" si="7"/>
        <v>Территория действия тарифа</v>
      </c>
      <c r="AO432" s="1979"/>
      <c r="AP432" s="1979"/>
    </row>
    <row r="433" spans="1:42" s="3714" customFormat="1" ht="23.25" customHeight="1">
      <c r="A433" s="1967"/>
      <c r="B433" s="1967"/>
      <c r="C433" s="1967" t="s">
        <v>393</v>
      </c>
      <c r="D433" s="1967"/>
      <c r="E433" s="4760" t="s">
        <v>383</v>
      </c>
      <c r="F433" s="4760"/>
      <c r="G433" s="4759">
        <v>1</v>
      </c>
      <c r="H433" s="1967"/>
      <c r="I433" s="1967"/>
      <c r="J433" s="1967"/>
      <c r="K433" s="1967"/>
      <c r="L433" s="1968"/>
      <c r="M433" s="2039"/>
      <c r="N433" s="2039"/>
      <c r="O433" s="2039"/>
      <c r="P433" s="2050"/>
      <c r="Q433" s="2046"/>
      <c r="R433" s="2047"/>
      <c r="S433" s="1972" t="str">
        <f>INDEX(PT_DIFFERENTIATION_NUM_CS,MATCH(C433,PT_DIFFERENTIATION_CS_ID,0))</f>
        <v>16.1.1</v>
      </c>
      <c r="T433" s="2051" t="s">
        <v>652</v>
      </c>
      <c r="U433" s="1974"/>
      <c r="V433" s="4745"/>
      <c r="W433" s="4746"/>
      <c r="X433" s="4746"/>
      <c r="Y433" s="4746"/>
      <c r="Z433" s="4746"/>
      <c r="AA433" s="4746"/>
      <c r="AB433" s="4747"/>
      <c r="AC433" s="4745" t="str">
        <f>INDEX(PT_DIFFERENTIATION_CS,MATCH(C433,PT_DIFFERENTIATION_CS_ID,0))</f>
        <v>без дифференциации</v>
      </c>
      <c r="AD433" s="4746"/>
      <c r="AE433" s="4746"/>
      <c r="AF433" s="4746"/>
      <c r="AG433" s="4746"/>
      <c r="AH433" s="4746"/>
      <c r="AI433" s="4746"/>
      <c r="AJ433" s="4747"/>
      <c r="AK433" s="2013" t="s">
        <v>653</v>
      </c>
      <c r="AL433" s="1978"/>
      <c r="AM433" s="1979"/>
      <c r="AN433" s="1979" t="str">
        <f t="shared" si="7"/>
        <v>Наименование централизованной системы водоотведения</v>
      </c>
      <c r="AO433" s="1979"/>
      <c r="AP433" s="1979"/>
    </row>
    <row r="434" spans="1:42" s="3715" customFormat="1" ht="23.25" customHeight="1">
      <c r="A434" s="1967"/>
      <c r="B434" s="1967"/>
      <c r="C434" s="1967"/>
      <c r="D434" s="1967"/>
      <c r="E434" s="4760" t="s">
        <v>383</v>
      </c>
      <c r="F434" s="4760"/>
      <c r="G434" s="4760"/>
      <c r="H434" s="4760"/>
      <c r="I434" s="4757" t="str">
        <f>S433&amp;".1"</f>
        <v>16.1.1.1</v>
      </c>
      <c r="J434" s="1967"/>
      <c r="K434" s="1967"/>
      <c r="L434" s="1968"/>
      <c r="M434" s="1969"/>
      <c r="N434" s="1969"/>
      <c r="O434" s="1969"/>
      <c r="P434" s="4758">
        <v>1</v>
      </c>
      <c r="Q434" s="1970"/>
      <c r="R434" s="1994"/>
      <c r="S434" s="1972" t="str">
        <f>$I434</f>
        <v>16.1.1.1</v>
      </c>
      <c r="T434" s="2053" t="s">
        <v>621</v>
      </c>
      <c r="U434" s="1974"/>
      <c r="V434" s="4818"/>
      <c r="W434" s="4819"/>
      <c r="X434" s="4819"/>
      <c r="Y434" s="4819"/>
      <c r="Z434" s="4819"/>
      <c r="AA434" s="4819"/>
      <c r="AB434" s="4820"/>
      <c r="AC434" s="4821"/>
      <c r="AD434" s="4822"/>
      <c r="AE434" s="4822"/>
      <c r="AF434" s="4822"/>
      <c r="AG434" s="4822"/>
      <c r="AH434" s="4822"/>
      <c r="AI434" s="4822"/>
      <c r="AJ434" s="4823"/>
      <c r="AK434" s="2013" t="s">
        <v>622</v>
      </c>
      <c r="AL434" s="1978"/>
      <c r="AM434" s="1979"/>
      <c r="AN434" s="1979" t="str">
        <f t="shared" si="7"/>
        <v>Наименование признака дифференциации</v>
      </c>
      <c r="AO434" s="1979"/>
      <c r="AP434" s="1979"/>
    </row>
    <row r="435" spans="1:42" s="3716" customFormat="1" ht="23.25" customHeight="1">
      <c r="A435" s="1967"/>
      <c r="B435" s="1967"/>
      <c r="C435" s="1967"/>
      <c r="D435" s="1967"/>
      <c r="E435" s="4760" t="s">
        <v>383</v>
      </c>
      <c r="F435" s="4760"/>
      <c r="G435" s="4760"/>
      <c r="H435" s="4760"/>
      <c r="I435" s="4780"/>
      <c r="J435" s="4757" t="str">
        <f>I434&amp;".1"</f>
        <v>16.1.1.1.1</v>
      </c>
      <c r="K435" s="1967"/>
      <c r="L435" s="1968" t="s">
        <v>547</v>
      </c>
      <c r="M435" s="1969"/>
      <c r="N435" s="1969"/>
      <c r="O435" s="1969"/>
      <c r="P435" s="4758"/>
      <c r="Q435" s="4758">
        <v>1</v>
      </c>
      <c r="R435" s="1981"/>
      <c r="S435" s="1972" t="str">
        <f>$J435</f>
        <v>16.1.1.1.1</v>
      </c>
      <c r="T435" s="1987" t="s">
        <v>548</v>
      </c>
      <c r="U435" s="1974"/>
      <c r="V435" s="4748"/>
      <c r="W435" s="4749"/>
      <c r="X435" s="4749"/>
      <c r="Y435" s="4749"/>
      <c r="Z435" s="4749"/>
      <c r="AA435" s="4749"/>
      <c r="AB435" s="4750"/>
      <c r="AC435" s="4748" t="s">
        <v>657</v>
      </c>
      <c r="AD435" s="4749"/>
      <c r="AE435" s="4749"/>
      <c r="AF435" s="4749"/>
      <c r="AG435" s="4749"/>
      <c r="AH435" s="4749"/>
      <c r="AI435" s="4749"/>
      <c r="AJ435" s="4750"/>
      <c r="AK435" s="1988" t="s">
        <v>623</v>
      </c>
      <c r="AL435" s="1978"/>
      <c r="AM435" s="1979"/>
      <c r="AN435" s="1979" t="str">
        <f t="shared" si="7"/>
        <v>Группа потребителей</v>
      </c>
      <c r="AO435" s="1979"/>
      <c r="AP435" s="1979"/>
    </row>
    <row r="436" spans="1:42" s="3717" customFormat="1" ht="23.25" customHeight="1">
      <c r="A436" s="1967"/>
      <c r="B436" s="1967"/>
      <c r="C436" s="1967"/>
      <c r="D436" s="1967"/>
      <c r="E436" s="4760" t="s">
        <v>383</v>
      </c>
      <c r="F436" s="4760"/>
      <c r="G436" s="4760"/>
      <c r="H436" s="4760"/>
      <c r="I436" s="4780"/>
      <c r="J436" s="4780"/>
      <c r="K436" s="4757" t="str">
        <f>J435&amp;".1"</f>
        <v>16.1.1.1.1.1</v>
      </c>
      <c r="L436" s="1968"/>
      <c r="M436" s="1969"/>
      <c r="N436" s="1969"/>
      <c r="O436" s="1969"/>
      <c r="P436" s="4758"/>
      <c r="Q436" s="4758"/>
      <c r="R436" s="1981">
        <v>1</v>
      </c>
      <c r="S436" s="1972" t="str">
        <f>$K436</f>
        <v>16.1.1.1.1.1</v>
      </c>
      <c r="T436" s="1973" t="s">
        <v>658</v>
      </c>
      <c r="U436" s="1974"/>
      <c r="V436" s="1975"/>
      <c r="W436" s="1975"/>
      <c r="X436" s="1976"/>
      <c r="Y436" s="4762"/>
      <c r="Z436" s="4608" t="s">
        <v>65</v>
      </c>
      <c r="AA436" s="4762"/>
      <c r="AB436" s="4608" t="s">
        <v>65</v>
      </c>
      <c r="AC436" s="1975">
        <v>35.47</v>
      </c>
      <c r="AD436" s="1975"/>
      <c r="AE436" s="1976"/>
      <c r="AF436" s="4762">
        <v>45292</v>
      </c>
      <c r="AG436" s="4608" t="s">
        <v>65</v>
      </c>
      <c r="AH436" s="4781">
        <v>45473</v>
      </c>
      <c r="AI436" s="4608" t="s">
        <v>65</v>
      </c>
      <c r="AJ436" s="1977"/>
      <c r="AK43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6" s="1978" t="e">
        <f ca="1">STRCHECKDATE(V437:AJ437)</f>
        <v>#NAME?</v>
      </c>
      <c r="AM436" s="1979"/>
      <c r="AN436" s="1979" t="str">
        <f t="shared" si="7"/>
        <v>Население (с учетом НДС)</v>
      </c>
      <c r="AO436" s="1979"/>
      <c r="AP436" s="1979"/>
    </row>
    <row r="437" spans="1:42" s="3718" customFormat="1" ht="14.25" customHeight="1">
      <c r="A437" s="1967"/>
      <c r="B437" s="1967"/>
      <c r="C437" s="1967"/>
      <c r="D437" s="1967"/>
      <c r="E437" s="4760" t="s">
        <v>383</v>
      </c>
      <c r="F437" s="4760"/>
      <c r="G437" s="4760"/>
      <c r="H437" s="4760"/>
      <c r="I437" s="4780"/>
      <c r="J437" s="4780"/>
      <c r="K437" s="4757"/>
      <c r="L437" s="1968"/>
      <c r="M437" s="1969"/>
      <c r="N437" s="1969"/>
      <c r="O437" s="1969"/>
      <c r="P437" s="4758"/>
      <c r="Q437" s="4758"/>
      <c r="R437" s="1981"/>
      <c r="S437" s="1982"/>
      <c r="T437" s="1974"/>
      <c r="U437" s="1974"/>
      <c r="V437" s="1983"/>
      <c r="W437" s="1983"/>
      <c r="X437" s="1984" t="str">
        <f>Y436&amp;"-"&amp;AA436</f>
        <v>-</v>
      </c>
      <c r="Y437" s="4763"/>
      <c r="Z437" s="4608"/>
      <c r="AA437" s="4763"/>
      <c r="AB437" s="4608"/>
      <c r="AC437" s="1983"/>
      <c r="AD437" s="1983"/>
      <c r="AE437" s="1984" t="str">
        <f>AF436&amp;"-"&amp;AH436</f>
        <v>45292-45473</v>
      </c>
      <c r="AF437" s="4763"/>
      <c r="AG437" s="4608"/>
      <c r="AH437" s="4782"/>
      <c r="AI437" s="4608"/>
      <c r="AJ437" s="1985"/>
      <c r="AK437" s="4817"/>
      <c r="AL437" s="1978"/>
      <c r="AM437" s="1979"/>
      <c r="AN437" s="1979" t="str">
        <f t="shared" si="7"/>
        <v/>
      </c>
      <c r="AO437" s="1979"/>
      <c r="AP437" s="1979"/>
    </row>
    <row r="438" spans="1:42" s="3719" customFormat="1" ht="23.25" customHeight="1">
      <c r="A438" s="1967"/>
      <c r="B438" s="1967"/>
      <c r="C438" s="1967"/>
      <c r="D438" s="1967"/>
      <c r="E438" s="4760"/>
      <c r="F438" s="4760"/>
      <c r="G438" s="4760"/>
      <c r="H438" s="4760"/>
      <c r="I438" s="4780"/>
      <c r="J438" s="4780"/>
      <c r="K438" s="4757" t="str">
        <f>J435&amp;".2"</f>
        <v>16.1.1.1.1.2</v>
      </c>
      <c r="L438" s="1968"/>
      <c r="M438" s="1969"/>
      <c r="N438" s="1969"/>
      <c r="O438" s="1969"/>
      <c r="P438" s="4758"/>
      <c r="Q438" s="4758"/>
      <c r="R438" s="1971" t="s">
        <v>102</v>
      </c>
      <c r="S438" s="1972" t="str">
        <f>$K438</f>
        <v>16.1.1.1.1.2</v>
      </c>
      <c r="T438" s="1973" t="s">
        <v>658</v>
      </c>
      <c r="U438" s="1974"/>
      <c r="V438" s="1975"/>
      <c r="W438" s="1975"/>
      <c r="X438" s="1976"/>
      <c r="Y438" s="4762"/>
      <c r="Z438" s="4608" t="s">
        <v>65</v>
      </c>
      <c r="AA438" s="4762"/>
      <c r="AB438" s="4608" t="s">
        <v>65</v>
      </c>
      <c r="AC438" s="1975">
        <v>38.659999999999997</v>
      </c>
      <c r="AD438" s="1975"/>
      <c r="AE438" s="1976"/>
      <c r="AF438" s="4762">
        <v>45474</v>
      </c>
      <c r="AG438" s="4608" t="s">
        <v>65</v>
      </c>
      <c r="AH438" s="4781">
        <v>45657</v>
      </c>
      <c r="AI438" s="4608" t="s">
        <v>65</v>
      </c>
      <c r="AJ438" s="1977"/>
      <c r="AK43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8" s="1978" t="e">
        <f ca="1">STRCHECKDATE(V439:AJ439)</f>
        <v>#NAME?</v>
      </c>
      <c r="AM438" s="1979"/>
      <c r="AN438" s="1979" t="str">
        <f t="shared" si="7"/>
        <v>Население (с учетом НДС)</v>
      </c>
      <c r="AO438" s="1979"/>
      <c r="AP438" s="1979"/>
    </row>
    <row r="439" spans="1:42" s="3720" customFormat="1" ht="14.25" customHeight="1">
      <c r="A439" s="1967"/>
      <c r="B439" s="1967"/>
      <c r="C439" s="1967"/>
      <c r="D439" s="1967"/>
      <c r="E439" s="4760"/>
      <c r="F439" s="4760"/>
      <c r="G439" s="4760"/>
      <c r="H439" s="4760"/>
      <c r="I439" s="4780"/>
      <c r="J439" s="4780"/>
      <c r="K439" s="4757" t="str">
        <f>J435&amp;".1"</f>
        <v>16.1.1.1.1.1</v>
      </c>
      <c r="L439" s="1968"/>
      <c r="M439" s="1969"/>
      <c r="N439" s="1969"/>
      <c r="O439" s="1969"/>
      <c r="P439" s="4758"/>
      <c r="Q439" s="4758"/>
      <c r="R439" s="1981"/>
      <c r="S439" s="1982"/>
      <c r="T439" s="1974"/>
      <c r="U439" s="1974"/>
      <c r="V439" s="1983"/>
      <c r="W439" s="1983"/>
      <c r="X439" s="1984" t="str">
        <f>Y438&amp;"-"&amp;AA438</f>
        <v>-</v>
      </c>
      <c r="Y439" s="4763"/>
      <c r="Z439" s="4608"/>
      <c r="AA439" s="4763"/>
      <c r="AB439" s="4608"/>
      <c r="AC439" s="1983"/>
      <c r="AD439" s="1983"/>
      <c r="AE439" s="1984" t="str">
        <f>AF438&amp;"-"&amp;AH438</f>
        <v>45474-45657</v>
      </c>
      <c r="AF439" s="4763"/>
      <c r="AG439" s="4608"/>
      <c r="AH439" s="4782"/>
      <c r="AI439" s="4608"/>
      <c r="AJ439" s="1985"/>
      <c r="AK439" s="4817"/>
      <c r="AL439" s="1978"/>
      <c r="AM439" s="1979"/>
      <c r="AN439" s="1979" t="str">
        <f t="shared" si="7"/>
        <v/>
      </c>
      <c r="AO439" s="1979"/>
      <c r="AP439" s="1979"/>
    </row>
    <row r="440" spans="1:42" s="3721" customFormat="1" ht="21" customHeight="1">
      <c r="A440" s="1967"/>
      <c r="B440" s="1967"/>
      <c r="C440" s="1967"/>
      <c r="D440" s="1967"/>
      <c r="E440" s="4760" t="s">
        <v>383</v>
      </c>
      <c r="F440" s="4760"/>
      <c r="G440" s="4760"/>
      <c r="H440" s="4760"/>
      <c r="I440" s="4780"/>
      <c r="J440" s="4757"/>
      <c r="K440" s="1967"/>
      <c r="L440" s="1968"/>
      <c r="M440" s="1969"/>
      <c r="N440" s="1969"/>
      <c r="O440" s="1969"/>
      <c r="P440" s="4758"/>
      <c r="Q440" s="4758"/>
      <c r="R440" s="1994"/>
      <c r="S440" s="3722"/>
      <c r="T440" s="3723" t="s">
        <v>624</v>
      </c>
      <c r="U440" s="3724"/>
      <c r="V440" s="3725"/>
      <c r="W440" s="3726"/>
      <c r="X440" s="3727"/>
      <c r="Y440" s="3728"/>
      <c r="Z440" s="3729"/>
      <c r="AA440" s="3730"/>
      <c r="AB440" s="3731"/>
      <c r="AC440" s="3732"/>
      <c r="AD440" s="3733"/>
      <c r="AE440" s="3734"/>
      <c r="AF440" s="3735"/>
      <c r="AG440" s="3736"/>
      <c r="AH440" s="3737"/>
      <c r="AI440" s="3738"/>
      <c r="AJ440" s="3739"/>
      <c r="AK440" s="2013" t="s">
        <v>625</v>
      </c>
      <c r="AL440" s="1978"/>
      <c r="AM440" s="1979"/>
      <c r="AN440" s="1979" t="str">
        <f t="shared" si="7"/>
        <v>Добавить значение признака дифференциации</v>
      </c>
      <c r="AO440" s="1979"/>
      <c r="AP440" s="1979"/>
    </row>
    <row r="441" spans="1:42" s="3740" customFormat="1" ht="23.25" customHeight="1">
      <c r="A441" s="1967"/>
      <c r="B441" s="1967"/>
      <c r="C441" s="1967"/>
      <c r="D441" s="1967"/>
      <c r="E441" s="4760"/>
      <c r="F441" s="4760"/>
      <c r="G441" s="4760"/>
      <c r="H441" s="4760"/>
      <c r="I441" s="4780"/>
      <c r="J441" s="4757" t="str">
        <f>I434&amp;".2"</f>
        <v>16.1.1.1.2</v>
      </c>
      <c r="K441" s="1967"/>
      <c r="L441" s="1968" t="s">
        <v>547</v>
      </c>
      <c r="M441" s="1969"/>
      <c r="N441" s="1969"/>
      <c r="O441" s="1969"/>
      <c r="P441" s="4758"/>
      <c r="Q441" s="4833" t="s">
        <v>102</v>
      </c>
      <c r="R441" s="1981"/>
      <c r="S441" s="1972" t="str">
        <f>$J441</f>
        <v>16.1.1.1.2</v>
      </c>
      <c r="T441" s="1987" t="s">
        <v>548</v>
      </c>
      <c r="U441" s="1974"/>
      <c r="V441" s="4748"/>
      <c r="W441" s="4749"/>
      <c r="X441" s="4749"/>
      <c r="Y441" s="4749"/>
      <c r="Z441" s="4749"/>
      <c r="AA441" s="4749"/>
      <c r="AB441" s="4750"/>
      <c r="AC441" s="4748" t="s">
        <v>659</v>
      </c>
      <c r="AD441" s="4749"/>
      <c r="AE441" s="4749"/>
      <c r="AF441" s="4749"/>
      <c r="AG441" s="4749"/>
      <c r="AH441" s="4749"/>
      <c r="AI441" s="4749"/>
      <c r="AJ441" s="4750"/>
      <c r="AK441" s="1988" t="s">
        <v>623</v>
      </c>
      <c r="AL441" s="1978"/>
      <c r="AM441" s="1979"/>
      <c r="AN441" s="1979" t="str">
        <f t="shared" si="7"/>
        <v>Группа потребителей</v>
      </c>
      <c r="AO441" s="1979"/>
      <c r="AP441" s="1979"/>
    </row>
    <row r="442" spans="1:42" s="3741" customFormat="1" ht="23.25" customHeight="1">
      <c r="A442" s="1967"/>
      <c r="B442" s="1967"/>
      <c r="C442" s="1967"/>
      <c r="D442" s="1967"/>
      <c r="E442" s="4760"/>
      <c r="F442" s="4760"/>
      <c r="G442" s="4760"/>
      <c r="H442" s="4760"/>
      <c r="I442" s="4780"/>
      <c r="J442" s="4780" t="str">
        <f>I434&amp;".1"</f>
        <v>16.1.1.1.1</v>
      </c>
      <c r="K442" s="4757" t="str">
        <f>J441&amp;".1"</f>
        <v>16.1.1.1.2.1</v>
      </c>
      <c r="L442" s="1968"/>
      <c r="M442" s="1969"/>
      <c r="N442" s="1969"/>
      <c r="O442" s="1969"/>
      <c r="P442" s="4758"/>
      <c r="Q442" s="4758"/>
      <c r="R442" s="1981">
        <v>1</v>
      </c>
      <c r="S442" s="1972" t="str">
        <f>$K442</f>
        <v>16.1.1.1.2.1</v>
      </c>
      <c r="T442" s="1973" t="s">
        <v>660</v>
      </c>
      <c r="U442" s="1974"/>
      <c r="V442" s="1975"/>
      <c r="W442" s="1975"/>
      <c r="X442" s="1976"/>
      <c r="Y442" s="4762"/>
      <c r="Z442" s="4608" t="s">
        <v>65</v>
      </c>
      <c r="AA442" s="4762"/>
      <c r="AB442" s="4608" t="s">
        <v>65</v>
      </c>
      <c r="AC442" s="1975">
        <v>29.56</v>
      </c>
      <c r="AD442" s="1975"/>
      <c r="AE442" s="1976"/>
      <c r="AF442" s="4762">
        <v>45292</v>
      </c>
      <c r="AG442" s="4608" t="s">
        <v>65</v>
      </c>
      <c r="AH442" s="4781">
        <v>45473</v>
      </c>
      <c r="AI442" s="4608" t="s">
        <v>65</v>
      </c>
      <c r="AJ442" s="1977"/>
      <c r="AK44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2" s="1978" t="e">
        <f ca="1">STRCHECKDATE(V443:AJ443)</f>
        <v>#NAME?</v>
      </c>
      <c r="AM442" s="1979"/>
      <c r="AN442" s="1979" t="str">
        <f t="shared" si="7"/>
        <v>Потребители, кроме населения (без учета НДС)</v>
      </c>
      <c r="AO442" s="1979"/>
      <c r="AP442" s="1979"/>
    </row>
    <row r="443" spans="1:42" s="3742" customFormat="1" ht="14.25" customHeight="1">
      <c r="A443" s="1967"/>
      <c r="B443" s="1967"/>
      <c r="C443" s="1967"/>
      <c r="D443" s="1967"/>
      <c r="E443" s="4760"/>
      <c r="F443" s="4760"/>
      <c r="G443" s="4760"/>
      <c r="H443" s="4760"/>
      <c r="I443" s="4780"/>
      <c r="J443" s="4780" t="str">
        <f>I434&amp;".1"</f>
        <v>16.1.1.1.1</v>
      </c>
      <c r="K443" s="4757"/>
      <c r="L443" s="1968"/>
      <c r="M443" s="1969"/>
      <c r="N443" s="1969"/>
      <c r="O443" s="1969"/>
      <c r="P443" s="4758"/>
      <c r="Q443" s="4758"/>
      <c r="R443" s="1981"/>
      <c r="S443" s="1982"/>
      <c r="T443" s="1974"/>
      <c r="U443" s="1974"/>
      <c r="V443" s="1983"/>
      <c r="W443" s="1983"/>
      <c r="X443" s="1984" t="str">
        <f>Y442&amp;"-"&amp;AA442</f>
        <v>-</v>
      </c>
      <c r="Y443" s="4763"/>
      <c r="Z443" s="4608"/>
      <c r="AA443" s="4763"/>
      <c r="AB443" s="4608"/>
      <c r="AC443" s="1983"/>
      <c r="AD443" s="1983"/>
      <c r="AE443" s="1984" t="str">
        <f>AF442&amp;"-"&amp;AH442</f>
        <v>45292-45473</v>
      </c>
      <c r="AF443" s="4763"/>
      <c r="AG443" s="4608"/>
      <c r="AH443" s="4782"/>
      <c r="AI443" s="4608"/>
      <c r="AJ443" s="1985"/>
      <c r="AK443" s="4817"/>
      <c r="AL443" s="1978"/>
      <c r="AM443" s="1979"/>
      <c r="AN443" s="1979" t="str">
        <f t="shared" si="7"/>
        <v/>
      </c>
      <c r="AO443" s="1979"/>
      <c r="AP443" s="1979"/>
    </row>
    <row r="444" spans="1:42" s="3743" customFormat="1" ht="23.25" customHeight="1">
      <c r="A444" s="1967"/>
      <c r="B444" s="1967"/>
      <c r="C444" s="1967"/>
      <c r="D444" s="1967"/>
      <c r="E444" s="4760"/>
      <c r="F444" s="4760"/>
      <c r="G444" s="4760"/>
      <c r="H444" s="4760"/>
      <c r="I444" s="4780"/>
      <c r="J444" s="4780"/>
      <c r="K444" s="4757" t="str">
        <f>J441&amp;".2"</f>
        <v>16.1.1.1.2.2</v>
      </c>
      <c r="L444" s="1968"/>
      <c r="M444" s="1969"/>
      <c r="N444" s="1969"/>
      <c r="O444" s="1969"/>
      <c r="P444" s="4758"/>
      <c r="Q444" s="4758"/>
      <c r="R444" s="1971" t="s">
        <v>102</v>
      </c>
      <c r="S444" s="1972" t="str">
        <f>$K444</f>
        <v>16.1.1.1.2.2</v>
      </c>
      <c r="T444" s="1973" t="s">
        <v>660</v>
      </c>
      <c r="U444" s="1974"/>
      <c r="V444" s="1975"/>
      <c r="W444" s="1975"/>
      <c r="X444" s="1976"/>
      <c r="Y444" s="4762"/>
      <c r="Z444" s="4608" t="s">
        <v>65</v>
      </c>
      <c r="AA444" s="4762"/>
      <c r="AB444" s="4608" t="s">
        <v>65</v>
      </c>
      <c r="AC444" s="1975">
        <v>54.64</v>
      </c>
      <c r="AD444" s="1975"/>
      <c r="AE444" s="1976"/>
      <c r="AF444" s="4762">
        <v>45474</v>
      </c>
      <c r="AG444" s="4608" t="s">
        <v>65</v>
      </c>
      <c r="AH444" s="4781">
        <v>45657</v>
      </c>
      <c r="AI444" s="4608" t="s">
        <v>65</v>
      </c>
      <c r="AJ444" s="1977"/>
      <c r="AK44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4" s="1978" t="e">
        <f ca="1">STRCHECKDATE(V445:AJ445)</f>
        <v>#NAME?</v>
      </c>
      <c r="AM444" s="1979"/>
      <c r="AN444" s="1979" t="str">
        <f t="shared" si="7"/>
        <v>Потребители, кроме населения (без учета НДС)</v>
      </c>
      <c r="AO444" s="1979"/>
      <c r="AP444" s="1979"/>
    </row>
    <row r="445" spans="1:42" s="3744" customFormat="1" ht="14.25" customHeight="1">
      <c r="A445" s="1967"/>
      <c r="B445" s="1967"/>
      <c r="C445" s="1967"/>
      <c r="D445" s="1967"/>
      <c r="E445" s="4760"/>
      <c r="F445" s="4760"/>
      <c r="G445" s="4760"/>
      <c r="H445" s="4760"/>
      <c r="I445" s="4780"/>
      <c r="J445" s="4780"/>
      <c r="K445" s="4757" t="str">
        <f>J441&amp;".1"</f>
        <v>16.1.1.1.2.1</v>
      </c>
      <c r="L445" s="1968"/>
      <c r="M445" s="1969"/>
      <c r="N445" s="1969"/>
      <c r="O445" s="1969"/>
      <c r="P445" s="4758"/>
      <c r="Q445" s="4758"/>
      <c r="R445" s="1981"/>
      <c r="S445" s="1982"/>
      <c r="T445" s="1974"/>
      <c r="U445" s="1974"/>
      <c r="V445" s="1983"/>
      <c r="W445" s="1983"/>
      <c r="X445" s="1984" t="str">
        <f>Y444&amp;"-"&amp;AA444</f>
        <v>-</v>
      </c>
      <c r="Y445" s="4763"/>
      <c r="Z445" s="4608"/>
      <c r="AA445" s="4763"/>
      <c r="AB445" s="4608"/>
      <c r="AC445" s="1983"/>
      <c r="AD445" s="1983"/>
      <c r="AE445" s="1984" t="str">
        <f>AF444&amp;"-"&amp;AH444</f>
        <v>45474-45657</v>
      </c>
      <c r="AF445" s="4763"/>
      <c r="AG445" s="4608"/>
      <c r="AH445" s="4782"/>
      <c r="AI445" s="4608"/>
      <c r="AJ445" s="1985"/>
      <c r="AK445" s="4817"/>
      <c r="AL445" s="1978"/>
      <c r="AM445" s="1979"/>
      <c r="AN445" s="1979" t="str">
        <f t="shared" si="7"/>
        <v/>
      </c>
      <c r="AO445" s="1979"/>
      <c r="AP445" s="1979"/>
    </row>
    <row r="446" spans="1:42" s="3745" customFormat="1" ht="21" customHeight="1">
      <c r="A446" s="1967"/>
      <c r="B446" s="1967"/>
      <c r="C446" s="1967"/>
      <c r="D446" s="1967"/>
      <c r="E446" s="4760"/>
      <c r="F446" s="4760"/>
      <c r="G446" s="4760"/>
      <c r="H446" s="4760"/>
      <c r="I446" s="4780"/>
      <c r="J446" s="4757" t="str">
        <f>I434&amp;".1"</f>
        <v>16.1.1.1.1</v>
      </c>
      <c r="K446" s="1967"/>
      <c r="L446" s="1968"/>
      <c r="M446" s="1969"/>
      <c r="N446" s="1969"/>
      <c r="O446" s="1969"/>
      <c r="P446" s="4758"/>
      <c r="Q446" s="4758"/>
      <c r="R446" s="1994"/>
      <c r="S446" s="3746"/>
      <c r="T446" s="3747" t="s">
        <v>624</v>
      </c>
      <c r="U446" s="3748"/>
      <c r="V446" s="3749"/>
      <c r="W446" s="3750"/>
      <c r="X446" s="3751"/>
      <c r="Y446" s="3752"/>
      <c r="Z446" s="3753"/>
      <c r="AA446" s="3754"/>
      <c r="AB446" s="3755"/>
      <c r="AC446" s="3756"/>
      <c r="AD446" s="3757"/>
      <c r="AE446" s="3758"/>
      <c r="AF446" s="3759"/>
      <c r="AG446" s="3760"/>
      <c r="AH446" s="3761"/>
      <c r="AI446" s="3762"/>
      <c r="AJ446" s="3763"/>
      <c r="AK446" s="2013" t="s">
        <v>625</v>
      </c>
      <c r="AL446" s="1978"/>
      <c r="AM446" s="1979"/>
      <c r="AN446" s="1979" t="str">
        <f t="shared" si="7"/>
        <v>Добавить значение признака дифференциации</v>
      </c>
      <c r="AO446" s="1979"/>
      <c r="AP446" s="1979"/>
    </row>
    <row r="447" spans="1:42" s="3764" customFormat="1" ht="23.25" customHeight="1">
      <c r="A447" s="1967"/>
      <c r="B447" s="1967"/>
      <c r="C447" s="1967"/>
      <c r="D447" s="1967"/>
      <c r="E447" s="4760"/>
      <c r="F447" s="4760"/>
      <c r="G447" s="4760"/>
      <c r="H447" s="4760"/>
      <c r="I447" s="4780"/>
      <c r="J447" s="4757" t="str">
        <f>I434&amp;".3"</f>
        <v>16.1.1.1.3</v>
      </c>
      <c r="K447" s="1967"/>
      <c r="L447" s="1968" t="s">
        <v>547</v>
      </c>
      <c r="M447" s="1969"/>
      <c r="N447" s="1969"/>
      <c r="O447" s="1969"/>
      <c r="P447" s="4758"/>
      <c r="Q447" s="4833" t="s">
        <v>102</v>
      </c>
      <c r="R447" s="1981"/>
      <c r="S447" s="1972" t="str">
        <f>$J447</f>
        <v>16.1.1.1.3</v>
      </c>
      <c r="T447" s="1987" t="s">
        <v>548</v>
      </c>
      <c r="U447" s="1974"/>
      <c r="V447" s="4748"/>
      <c r="W447" s="4749"/>
      <c r="X447" s="4749"/>
      <c r="Y447" s="4749"/>
      <c r="Z447" s="4749"/>
      <c r="AA447" s="4749"/>
      <c r="AB447" s="4750"/>
      <c r="AC447" s="4748" t="s">
        <v>661</v>
      </c>
      <c r="AD447" s="4749"/>
      <c r="AE447" s="4749"/>
      <c r="AF447" s="4749"/>
      <c r="AG447" s="4749"/>
      <c r="AH447" s="4749"/>
      <c r="AI447" s="4749"/>
      <c r="AJ447" s="4750"/>
      <c r="AK447" s="1988" t="s">
        <v>623</v>
      </c>
      <c r="AL447" s="1978"/>
      <c r="AM447" s="1979"/>
      <c r="AN447" s="1979" t="str">
        <f t="shared" si="7"/>
        <v>Группа потребителей</v>
      </c>
      <c r="AO447" s="1979"/>
      <c r="AP447" s="1979"/>
    </row>
    <row r="448" spans="1:42" s="3765" customFormat="1" ht="23.25" customHeight="1">
      <c r="A448" s="1967"/>
      <c r="B448" s="1967"/>
      <c r="C448" s="1967"/>
      <c r="D448" s="1967"/>
      <c r="E448" s="4760"/>
      <c r="F448" s="4760"/>
      <c r="G448" s="4760"/>
      <c r="H448" s="4760"/>
      <c r="I448" s="4780"/>
      <c r="J448" s="4780" t="str">
        <f>I434&amp;".2"</f>
        <v>16.1.1.1.2</v>
      </c>
      <c r="K448" s="4757" t="str">
        <f>J447&amp;".1"</f>
        <v>16.1.1.1.3.1</v>
      </c>
      <c r="L448" s="1968"/>
      <c r="M448" s="1969"/>
      <c r="N448" s="1969"/>
      <c r="O448" s="1969"/>
      <c r="P448" s="4758"/>
      <c r="Q448" s="4758"/>
      <c r="R448" s="1981">
        <v>1</v>
      </c>
      <c r="S448" s="1972" t="str">
        <f>$K448</f>
        <v>16.1.1.1.3.1</v>
      </c>
      <c r="T448" s="1973" t="s">
        <v>660</v>
      </c>
      <c r="U448" s="1974"/>
      <c r="V448" s="1975"/>
      <c r="W448" s="1975"/>
      <c r="X448" s="1976"/>
      <c r="Y448" s="4762"/>
      <c r="Z448" s="4608" t="s">
        <v>65</v>
      </c>
      <c r="AA448" s="4762"/>
      <c r="AB448" s="4608" t="s">
        <v>65</v>
      </c>
      <c r="AC448" s="1975">
        <v>29.56</v>
      </c>
      <c r="AD448" s="1975"/>
      <c r="AE448" s="1976"/>
      <c r="AF448" s="4762">
        <v>45292</v>
      </c>
      <c r="AG448" s="4608" t="s">
        <v>65</v>
      </c>
      <c r="AH448" s="4781">
        <v>45473</v>
      </c>
      <c r="AI448" s="4608" t="s">
        <v>65</v>
      </c>
      <c r="AJ448" s="1977"/>
      <c r="AK44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8" s="1978" t="e">
        <f ca="1">STRCHECKDATE(V449:AJ449)</f>
        <v>#NAME?</v>
      </c>
      <c r="AM448" s="1979"/>
      <c r="AN448" s="1979" t="str">
        <f t="shared" si="7"/>
        <v>Потребители, кроме населения (без учета НДС)</v>
      </c>
      <c r="AO448" s="1979"/>
      <c r="AP448" s="1979"/>
    </row>
    <row r="449" spans="1:42" s="3766" customFormat="1" ht="14.25" customHeight="1">
      <c r="A449" s="1967"/>
      <c r="B449" s="1967"/>
      <c r="C449" s="1967"/>
      <c r="D449" s="1967"/>
      <c r="E449" s="4760"/>
      <c r="F449" s="4760"/>
      <c r="G449" s="4760"/>
      <c r="H449" s="4760"/>
      <c r="I449" s="4780"/>
      <c r="J449" s="4780" t="str">
        <f>I434&amp;".2"</f>
        <v>16.1.1.1.2</v>
      </c>
      <c r="K449" s="4757"/>
      <c r="L449" s="1968"/>
      <c r="M449" s="1969"/>
      <c r="N449" s="1969"/>
      <c r="O449" s="1969"/>
      <c r="P449" s="4758"/>
      <c r="Q449" s="4758"/>
      <c r="R449" s="1981"/>
      <c r="S449" s="1982"/>
      <c r="T449" s="1974"/>
      <c r="U449" s="1974"/>
      <c r="V449" s="1983"/>
      <c r="W449" s="1983"/>
      <c r="X449" s="1984" t="str">
        <f>Y448&amp;"-"&amp;AA448</f>
        <v>-</v>
      </c>
      <c r="Y449" s="4763"/>
      <c r="Z449" s="4608"/>
      <c r="AA449" s="4763"/>
      <c r="AB449" s="4608"/>
      <c r="AC449" s="1983"/>
      <c r="AD449" s="1983"/>
      <c r="AE449" s="1984" t="str">
        <f>AF448&amp;"-"&amp;AH448</f>
        <v>45292-45473</v>
      </c>
      <c r="AF449" s="4763"/>
      <c r="AG449" s="4608"/>
      <c r="AH449" s="4782"/>
      <c r="AI449" s="4608"/>
      <c r="AJ449" s="1985"/>
      <c r="AK449" s="4817"/>
      <c r="AL449" s="1978"/>
      <c r="AM449" s="1979"/>
      <c r="AN449" s="1979" t="str">
        <f t="shared" si="7"/>
        <v/>
      </c>
      <c r="AO449" s="1979"/>
      <c r="AP449" s="1979"/>
    </row>
    <row r="450" spans="1:42" s="3767" customFormat="1" ht="23.25" customHeight="1">
      <c r="A450" s="1967"/>
      <c r="B450" s="1967"/>
      <c r="C450" s="1967"/>
      <c r="D450" s="1967"/>
      <c r="E450" s="4760"/>
      <c r="F450" s="4760"/>
      <c r="G450" s="4760"/>
      <c r="H450" s="4760"/>
      <c r="I450" s="4780"/>
      <c r="J450" s="4780"/>
      <c r="K450" s="4757" t="str">
        <f>J447&amp;".2"</f>
        <v>16.1.1.1.3.2</v>
      </c>
      <c r="L450" s="1968"/>
      <c r="M450" s="1969"/>
      <c r="N450" s="1969"/>
      <c r="O450" s="1969"/>
      <c r="P450" s="4758"/>
      <c r="Q450" s="4758"/>
      <c r="R450" s="1971" t="s">
        <v>102</v>
      </c>
      <c r="S450" s="1972" t="str">
        <f>$K450</f>
        <v>16.1.1.1.3.2</v>
      </c>
      <c r="T450" s="1973" t="s">
        <v>660</v>
      </c>
      <c r="U450" s="1974"/>
      <c r="V450" s="1975"/>
      <c r="W450" s="1975"/>
      <c r="X450" s="1976"/>
      <c r="Y450" s="4762"/>
      <c r="Z450" s="4608" t="s">
        <v>65</v>
      </c>
      <c r="AA450" s="4762"/>
      <c r="AB450" s="4608" t="s">
        <v>65</v>
      </c>
      <c r="AC450" s="1975">
        <v>54.64</v>
      </c>
      <c r="AD450" s="1975"/>
      <c r="AE450" s="1976"/>
      <c r="AF450" s="4762">
        <v>45474</v>
      </c>
      <c r="AG450" s="4608" t="s">
        <v>65</v>
      </c>
      <c r="AH450" s="4781">
        <v>45657</v>
      </c>
      <c r="AI450" s="4608" t="s">
        <v>65</v>
      </c>
      <c r="AJ450" s="1977"/>
      <c r="AK45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50" s="1978" t="e">
        <f ca="1">STRCHECKDATE(V451:AJ451)</f>
        <v>#NAME?</v>
      </c>
      <c r="AM450" s="1979"/>
      <c r="AN450" s="1979" t="str">
        <f t="shared" si="7"/>
        <v>Потребители, кроме населения (без учета НДС)</v>
      </c>
      <c r="AO450" s="1979"/>
      <c r="AP450" s="1979"/>
    </row>
    <row r="451" spans="1:42" s="3768" customFormat="1" ht="14.25" customHeight="1">
      <c r="A451" s="1967"/>
      <c r="B451" s="1967"/>
      <c r="C451" s="1967"/>
      <c r="D451" s="1967"/>
      <c r="E451" s="4760"/>
      <c r="F451" s="4760"/>
      <c r="G451" s="4760"/>
      <c r="H451" s="4760"/>
      <c r="I451" s="4780"/>
      <c r="J451" s="4780"/>
      <c r="K451" s="4757" t="str">
        <f>J447&amp;".1"</f>
        <v>16.1.1.1.3.1</v>
      </c>
      <c r="L451" s="1968"/>
      <c r="M451" s="1969"/>
      <c r="N451" s="1969"/>
      <c r="O451" s="1969"/>
      <c r="P451" s="4758"/>
      <c r="Q451" s="4758"/>
      <c r="R451" s="1981"/>
      <c r="S451" s="1982"/>
      <c r="T451" s="1974"/>
      <c r="U451" s="1974"/>
      <c r="V451" s="1983"/>
      <c r="W451" s="1983"/>
      <c r="X451" s="1984" t="str">
        <f>Y450&amp;"-"&amp;AA450</f>
        <v>-</v>
      </c>
      <c r="Y451" s="4763"/>
      <c r="Z451" s="4608"/>
      <c r="AA451" s="4763"/>
      <c r="AB451" s="4608"/>
      <c r="AC451" s="1983"/>
      <c r="AD451" s="1983"/>
      <c r="AE451" s="1984" t="str">
        <f>AF450&amp;"-"&amp;AH450</f>
        <v>45474-45657</v>
      </c>
      <c r="AF451" s="4763"/>
      <c r="AG451" s="4608"/>
      <c r="AH451" s="4782"/>
      <c r="AI451" s="4608"/>
      <c r="AJ451" s="1985"/>
      <c r="AK451" s="4817"/>
      <c r="AL451" s="1978"/>
      <c r="AM451" s="1979"/>
      <c r="AN451" s="1979" t="str">
        <f t="shared" si="7"/>
        <v/>
      </c>
      <c r="AO451" s="1979"/>
      <c r="AP451" s="1979"/>
    </row>
    <row r="452" spans="1:42" s="3769" customFormat="1" ht="21" customHeight="1">
      <c r="A452" s="1967"/>
      <c r="B452" s="1967"/>
      <c r="C452" s="1967"/>
      <c r="D452" s="1967"/>
      <c r="E452" s="4760"/>
      <c r="F452" s="4760"/>
      <c r="G452" s="4760"/>
      <c r="H452" s="4760"/>
      <c r="I452" s="4780"/>
      <c r="J452" s="4757" t="str">
        <f>I434&amp;".2"</f>
        <v>16.1.1.1.2</v>
      </c>
      <c r="K452" s="1967"/>
      <c r="L452" s="1968"/>
      <c r="M452" s="1969"/>
      <c r="N452" s="1969"/>
      <c r="O452" s="1969"/>
      <c r="P452" s="4758"/>
      <c r="Q452" s="4758"/>
      <c r="R452" s="1994"/>
      <c r="S452" s="3770"/>
      <c r="T452" s="3771" t="s">
        <v>624</v>
      </c>
      <c r="U452" s="3772"/>
      <c r="V452" s="3773"/>
      <c r="W452" s="3774"/>
      <c r="X452" s="3775"/>
      <c r="Y452" s="3776"/>
      <c r="Z452" s="3777"/>
      <c r="AA452" s="3778"/>
      <c r="AB452" s="3779"/>
      <c r="AC452" s="3780"/>
      <c r="AD452" s="3781"/>
      <c r="AE452" s="3782"/>
      <c r="AF452" s="3783"/>
      <c r="AG452" s="3784"/>
      <c r="AH452" s="3785"/>
      <c r="AI452" s="3786"/>
      <c r="AJ452" s="3787"/>
      <c r="AK452" s="2013" t="s">
        <v>625</v>
      </c>
      <c r="AL452" s="1978"/>
      <c r="AM452" s="1979"/>
      <c r="AN452" s="1979" t="str">
        <f t="shared" si="7"/>
        <v>Добавить значение признака дифференциации</v>
      </c>
      <c r="AO452" s="1979"/>
      <c r="AP452" s="1979"/>
    </row>
    <row r="453" spans="1:42" s="3788" customFormat="1" ht="21" customHeight="1">
      <c r="A453" s="1967"/>
      <c r="B453" s="1967"/>
      <c r="C453" s="1967"/>
      <c r="D453" s="1967"/>
      <c r="E453" s="4760" t="s">
        <v>383</v>
      </c>
      <c r="F453" s="4760"/>
      <c r="G453" s="4760"/>
      <c r="H453" s="4760"/>
      <c r="I453" s="4757"/>
      <c r="J453" s="1967"/>
      <c r="K453" s="1967"/>
      <c r="L453" s="1968"/>
      <c r="M453" s="1969"/>
      <c r="N453" s="1969"/>
      <c r="O453" s="1969"/>
      <c r="P453" s="4758"/>
      <c r="Q453" s="1970"/>
      <c r="R453" s="1994"/>
      <c r="S453" s="3789"/>
      <c r="T453" s="3790" t="s">
        <v>553</v>
      </c>
      <c r="U453" s="3791"/>
      <c r="V453" s="3792"/>
      <c r="W453" s="3793"/>
      <c r="X453" s="3794"/>
      <c r="Y453" s="3795"/>
      <c r="Z453" s="3796"/>
      <c r="AA453" s="3797"/>
      <c r="AB453" s="3798"/>
      <c r="AC453" s="3799"/>
      <c r="AD453" s="3800"/>
      <c r="AE453" s="3801"/>
      <c r="AF453" s="3802"/>
      <c r="AG453" s="3803"/>
      <c r="AH453" s="3804"/>
      <c r="AI453" s="3805"/>
      <c r="AJ453" s="3806"/>
      <c r="AK453" s="3807"/>
      <c r="AL453" s="1978"/>
      <c r="AM453" s="1979"/>
      <c r="AN453" s="1979" t="str">
        <f t="shared" si="7"/>
        <v>Добавить группу потребителей</v>
      </c>
      <c r="AO453" s="1979"/>
      <c r="AP453" s="1979"/>
    </row>
    <row r="454" spans="1:42" s="3808" customFormat="1" ht="21" customHeight="1">
      <c r="A454" s="1967"/>
      <c r="B454" s="1967"/>
      <c r="C454" s="1967"/>
      <c r="D454" s="1967"/>
      <c r="E454" s="4760" t="s">
        <v>383</v>
      </c>
      <c r="F454" s="4760"/>
      <c r="G454" s="4760"/>
      <c r="H454" s="4759"/>
      <c r="I454" s="1967"/>
      <c r="J454" s="1967"/>
      <c r="K454" s="1967"/>
      <c r="L454" s="1968"/>
      <c r="M454" s="2039"/>
      <c r="N454" s="2039"/>
      <c r="O454" s="2147"/>
      <c r="P454" s="2041"/>
      <c r="Q454" s="2148"/>
      <c r="R454" s="2042"/>
      <c r="S454" s="3809"/>
      <c r="T454" s="3810" t="s">
        <v>626</v>
      </c>
      <c r="U454" s="3811"/>
      <c r="V454" s="3812"/>
      <c r="W454" s="3813"/>
      <c r="X454" s="3814"/>
      <c r="Y454" s="3815"/>
      <c r="Z454" s="3816"/>
      <c r="AA454" s="3817"/>
      <c r="AB454" s="3818"/>
      <c r="AC454" s="3819"/>
      <c r="AD454" s="3820"/>
      <c r="AE454" s="3821"/>
      <c r="AF454" s="3822"/>
      <c r="AG454" s="3823"/>
      <c r="AH454" s="3824"/>
      <c r="AI454" s="3825"/>
      <c r="AJ454" s="3826"/>
      <c r="AK454" s="3827"/>
      <c r="AL454" s="1978"/>
      <c r="AM454" s="1979"/>
      <c r="AN454" s="1979" t="str">
        <f t="shared" si="7"/>
        <v>Добавить наименование признака дифференциации</v>
      </c>
      <c r="AO454" s="1979"/>
      <c r="AP454" s="1979"/>
    </row>
    <row r="455" spans="1:42" s="3828" customFormat="1" ht="14.25" customHeight="1">
      <c r="A455" s="2169"/>
      <c r="B455" s="2169"/>
      <c r="C455" s="2169"/>
      <c r="D455" s="2169"/>
      <c r="E455" s="4760" t="s">
        <v>383</v>
      </c>
      <c r="F455" s="4759"/>
      <c r="G455" s="2169"/>
      <c r="H455" s="2169"/>
      <c r="I455" s="2169"/>
      <c r="J455" s="2169"/>
      <c r="K455" s="2169"/>
      <c r="L455" s="2170"/>
      <c r="M455" s="2171"/>
      <c r="N455" s="2171"/>
      <c r="O455" s="1978"/>
      <c r="P455" s="2172"/>
      <c r="Q455" s="2173"/>
      <c r="R455" s="2172"/>
      <c r="S455" s="2174"/>
      <c r="T455" s="2175" t="s">
        <v>316</v>
      </c>
      <c r="U455" s="2176"/>
      <c r="V455" s="2176"/>
      <c r="W455" s="2176"/>
      <c r="X455" s="2176"/>
      <c r="Y455" s="2176"/>
      <c r="Z455" s="2176"/>
      <c r="AA455" s="2176"/>
      <c r="AB455" s="2176"/>
      <c r="AC455" s="2176"/>
      <c r="AD455" s="2176"/>
      <c r="AE455" s="2176"/>
      <c r="AF455" s="2176"/>
      <c r="AG455" s="2176"/>
      <c r="AH455" s="2176"/>
      <c r="AI455" s="2176"/>
      <c r="AJ455" s="2176"/>
      <c r="AK455" s="2176"/>
      <c r="AL455" s="1978"/>
      <c r="AM455" s="1979"/>
      <c r="AN455" s="1979" t="str">
        <f t="shared" si="7"/>
        <v>Добавить централизованную систему для дифференциации</v>
      </c>
      <c r="AO455" s="1979"/>
      <c r="AP455" s="1979"/>
    </row>
    <row r="456" spans="1:42" s="3829" customFormat="1" ht="14.25" customHeight="1">
      <c r="A456" s="2169"/>
      <c r="B456" s="2169"/>
      <c r="C456" s="2169"/>
      <c r="D456" s="2169"/>
      <c r="E456" s="4759" t="s">
        <v>383</v>
      </c>
      <c r="F456" s="2169"/>
      <c r="G456" s="2169"/>
      <c r="H456" s="2169"/>
      <c r="I456" s="2169"/>
      <c r="J456" s="2169"/>
      <c r="K456" s="2169"/>
      <c r="L456" s="2170"/>
      <c r="M456" s="2171"/>
      <c r="N456" s="2171"/>
      <c r="O456" s="1978"/>
      <c r="P456" s="2172"/>
      <c r="Q456" s="2173"/>
      <c r="R456" s="2172"/>
      <c r="S456" s="2174"/>
      <c r="T456" s="2175" t="s">
        <v>317</v>
      </c>
      <c r="U456" s="2176"/>
      <c r="V456" s="2176"/>
      <c r="W456" s="2176"/>
      <c r="X456" s="2176"/>
      <c r="Y456" s="2176"/>
      <c r="Z456" s="2176"/>
      <c r="AA456" s="2176"/>
      <c r="AB456" s="2176"/>
      <c r="AC456" s="2176"/>
      <c r="AD456" s="2176"/>
      <c r="AE456" s="2176"/>
      <c r="AF456" s="2176"/>
      <c r="AG456" s="2176"/>
      <c r="AH456" s="2176"/>
      <c r="AI456" s="2176"/>
      <c r="AJ456" s="2176"/>
      <c r="AK456" s="2176"/>
      <c r="AL456" s="1978"/>
      <c r="AM456" s="1979"/>
      <c r="AN456" s="1979" t="str">
        <f t="shared" si="7"/>
        <v>Добавить территорию для дифференциации</v>
      </c>
      <c r="AO456" s="1979"/>
      <c r="AP456" s="1979"/>
    </row>
    <row r="457" spans="1:42" s="3830" customFormat="1" ht="23.25" customHeight="1">
      <c r="A457" s="1967" t="s">
        <v>397</v>
      </c>
      <c r="B457" s="1967"/>
      <c r="C457" s="1967"/>
      <c r="D457" s="1967"/>
      <c r="E457" s="4759" t="s">
        <v>395</v>
      </c>
      <c r="F457" s="1967"/>
      <c r="G457" s="1967"/>
      <c r="H457" s="1967"/>
      <c r="I457" s="1967"/>
      <c r="J457" s="1967"/>
      <c r="K457" s="1967"/>
      <c r="L457" s="1968"/>
      <c r="M457" s="2039"/>
      <c r="N457" s="2039"/>
      <c r="O457" s="2039"/>
      <c r="P457" s="2040"/>
      <c r="Q457" s="2041"/>
      <c r="R457" s="2042"/>
      <c r="S457" s="1972" t="str">
        <f>INDEX(PT_DIFFERENTIATION_NUM_NTAR,MATCH(A457,PT_DIFFERENTIATION_NTAR_ID,0))</f>
        <v>17</v>
      </c>
      <c r="T457" s="2043" t="s">
        <v>185</v>
      </c>
      <c r="U457" s="1974"/>
      <c r="V457" s="4745"/>
      <c r="W457" s="4746"/>
      <c r="X457" s="4746"/>
      <c r="Y457" s="4746"/>
      <c r="Z457" s="4746"/>
      <c r="AA457" s="4746"/>
      <c r="AB457" s="4747"/>
      <c r="AC457" s="4745" t="str">
        <f>INDEX(PT_DIFFERENTIATION_NTAR,MATCH(A457,PT_DIFFERENTIATION_NTAR_ID,0))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AD457" s="4746"/>
      <c r="AE457" s="4746"/>
      <c r="AF457" s="4746"/>
      <c r="AG457" s="4746"/>
      <c r="AH457" s="4746"/>
      <c r="AI457" s="4746"/>
      <c r="AJ457" s="4747"/>
      <c r="AK457"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57" s="1978"/>
      <c r="AM457" s="1979"/>
      <c r="AN457" s="1979" t="str">
        <f t="shared" si="7"/>
        <v>Наименование тарифа</v>
      </c>
      <c r="AO457" s="1979"/>
      <c r="AP457" s="1979"/>
    </row>
    <row r="458" spans="1:42" s="3831" customFormat="1" ht="23.25" customHeight="1">
      <c r="A458" s="1967"/>
      <c r="B458" s="1967" t="s">
        <v>398</v>
      </c>
      <c r="C458" s="1967"/>
      <c r="D458" s="1967"/>
      <c r="E458" s="4760" t="s">
        <v>389</v>
      </c>
      <c r="F458" s="4759">
        <v>1</v>
      </c>
      <c r="G458" s="1967"/>
      <c r="H458" s="1967"/>
      <c r="I458" s="1967"/>
      <c r="J458" s="1967"/>
      <c r="K458" s="1967"/>
      <c r="L458" s="1968"/>
      <c r="M458" s="2039"/>
      <c r="N458" s="2039"/>
      <c r="O458" s="2039"/>
      <c r="P458" s="2045"/>
      <c r="Q458" s="2046"/>
      <c r="R458" s="2047"/>
      <c r="S458" s="1972" t="str">
        <f>INDEX(PT_DIFFERENTIATION_NUM_TER,MATCH(B458,PT_DIFFERENTIATION_TER_ID,0))</f>
        <v>17.1</v>
      </c>
      <c r="T458" s="2048" t="s">
        <v>538</v>
      </c>
      <c r="U458" s="1974"/>
      <c r="V458" s="4745"/>
      <c r="W458" s="4746"/>
      <c r="X458" s="4746"/>
      <c r="Y458" s="4746"/>
      <c r="Z458" s="4746"/>
      <c r="AA458" s="4746"/>
      <c r="AB458" s="4747"/>
      <c r="AC458" s="4745" t="str">
        <f>INDEX(PT_DIFFERENTIATION_TER,MATCH(B458,PT_DIFFERENTIATION_TER_ID,0))</f>
        <v>Территория 10</v>
      </c>
      <c r="AD458" s="4746"/>
      <c r="AE458" s="4746"/>
      <c r="AF458" s="4746"/>
      <c r="AG458" s="4746"/>
      <c r="AH458" s="4746"/>
      <c r="AI458" s="4746"/>
      <c r="AJ458" s="4747"/>
      <c r="AK458" s="2013" t="s">
        <v>539</v>
      </c>
      <c r="AL458" s="1978"/>
      <c r="AM458" s="1979"/>
      <c r="AN458" s="1979" t="str">
        <f t="shared" si="7"/>
        <v>Территория действия тарифа</v>
      </c>
      <c r="AO458" s="1979"/>
      <c r="AP458" s="1979"/>
    </row>
    <row r="459" spans="1:42" s="3832" customFormat="1" ht="23.25" customHeight="1">
      <c r="A459" s="1967"/>
      <c r="B459" s="1967"/>
      <c r="C459" s="1967" t="s">
        <v>399</v>
      </c>
      <c r="D459" s="1967"/>
      <c r="E459" s="4760" t="s">
        <v>389</v>
      </c>
      <c r="F459" s="4760"/>
      <c r="G459" s="4759">
        <v>1</v>
      </c>
      <c r="H459" s="1967"/>
      <c r="I459" s="1967"/>
      <c r="J459" s="1967"/>
      <c r="K459" s="1967"/>
      <c r="L459" s="1968"/>
      <c r="M459" s="2039"/>
      <c r="N459" s="2039"/>
      <c r="O459" s="2039"/>
      <c r="P459" s="2050"/>
      <c r="Q459" s="2046"/>
      <c r="R459" s="2047"/>
      <c r="S459" s="1972" t="str">
        <f>INDEX(PT_DIFFERENTIATION_NUM_CS,MATCH(C459,PT_DIFFERENTIATION_CS_ID,0))</f>
        <v>17.1.1</v>
      </c>
      <c r="T459" s="2051" t="s">
        <v>652</v>
      </c>
      <c r="U459" s="1974"/>
      <c r="V459" s="4745"/>
      <c r="W459" s="4746"/>
      <c r="X459" s="4746"/>
      <c r="Y459" s="4746"/>
      <c r="Z459" s="4746"/>
      <c r="AA459" s="4746"/>
      <c r="AB459" s="4747"/>
      <c r="AC459" s="4745" t="str">
        <f>INDEX(PT_DIFFERENTIATION_CS,MATCH(C459,PT_DIFFERENTIATION_CS_ID,0))</f>
        <v>без дифференциации</v>
      </c>
      <c r="AD459" s="4746"/>
      <c r="AE459" s="4746"/>
      <c r="AF459" s="4746"/>
      <c r="AG459" s="4746"/>
      <c r="AH459" s="4746"/>
      <c r="AI459" s="4746"/>
      <c r="AJ459" s="4747"/>
      <c r="AK459" s="2013" t="s">
        <v>653</v>
      </c>
      <c r="AL459" s="1978"/>
      <c r="AM459" s="1979"/>
      <c r="AN459" s="1979" t="str">
        <f t="shared" si="7"/>
        <v>Наименование централизованной системы водоотведения</v>
      </c>
      <c r="AO459" s="1979"/>
      <c r="AP459" s="1979"/>
    </row>
    <row r="460" spans="1:42" s="3833" customFormat="1" ht="23.25" customHeight="1">
      <c r="A460" s="1967"/>
      <c r="B460" s="1967"/>
      <c r="C460" s="1967"/>
      <c r="D460" s="1967"/>
      <c r="E460" s="4760" t="s">
        <v>389</v>
      </c>
      <c r="F460" s="4760"/>
      <c r="G460" s="4760"/>
      <c r="H460" s="4760"/>
      <c r="I460" s="4757" t="str">
        <f>S459&amp;".1"</f>
        <v>17.1.1.1</v>
      </c>
      <c r="J460" s="1967"/>
      <c r="K460" s="1967"/>
      <c r="L460" s="1968"/>
      <c r="M460" s="1969"/>
      <c r="N460" s="1969"/>
      <c r="O460" s="1969"/>
      <c r="P460" s="4758">
        <v>1</v>
      </c>
      <c r="Q460" s="1970"/>
      <c r="R460" s="1994"/>
      <c r="S460" s="1972" t="str">
        <f>$I460</f>
        <v>17.1.1.1</v>
      </c>
      <c r="T460" s="2053" t="s">
        <v>621</v>
      </c>
      <c r="U460" s="1974"/>
      <c r="V460" s="4818"/>
      <c r="W460" s="4819"/>
      <c r="X460" s="4819"/>
      <c r="Y460" s="4819"/>
      <c r="Z460" s="4819"/>
      <c r="AA460" s="4819"/>
      <c r="AB460" s="4820"/>
      <c r="AC460" s="4821"/>
      <c r="AD460" s="4822"/>
      <c r="AE460" s="4822"/>
      <c r="AF460" s="4822"/>
      <c r="AG460" s="4822"/>
      <c r="AH460" s="4822"/>
      <c r="AI460" s="4822"/>
      <c r="AJ460" s="4823"/>
      <c r="AK460" s="2013" t="s">
        <v>622</v>
      </c>
      <c r="AL460" s="1978"/>
      <c r="AM460" s="1979"/>
      <c r="AN460" s="1979" t="str">
        <f t="shared" si="7"/>
        <v>Наименование признака дифференциации</v>
      </c>
      <c r="AO460" s="1979"/>
      <c r="AP460" s="1979"/>
    </row>
    <row r="461" spans="1:42" s="3834" customFormat="1" ht="23.25" customHeight="1">
      <c r="A461" s="1967"/>
      <c r="B461" s="1967"/>
      <c r="C461" s="1967"/>
      <c r="D461" s="1967"/>
      <c r="E461" s="4760" t="s">
        <v>389</v>
      </c>
      <c r="F461" s="4760"/>
      <c r="G461" s="4760"/>
      <c r="H461" s="4760"/>
      <c r="I461" s="4780"/>
      <c r="J461" s="4757" t="str">
        <f>I460&amp;".1"</f>
        <v>17.1.1.1.1</v>
      </c>
      <c r="K461" s="1967"/>
      <c r="L461" s="1968" t="s">
        <v>547</v>
      </c>
      <c r="M461" s="1969"/>
      <c r="N461" s="1969"/>
      <c r="O461" s="1969"/>
      <c r="P461" s="4758"/>
      <c r="Q461" s="4758">
        <v>1</v>
      </c>
      <c r="R461" s="1981"/>
      <c r="S461" s="1972" t="str">
        <f>$J461</f>
        <v>17.1.1.1.1</v>
      </c>
      <c r="T461" s="1987" t="s">
        <v>548</v>
      </c>
      <c r="U461" s="1974"/>
      <c r="V461" s="4748"/>
      <c r="W461" s="4749"/>
      <c r="X461" s="4749"/>
      <c r="Y461" s="4749"/>
      <c r="Z461" s="4749"/>
      <c r="AA461" s="4749"/>
      <c r="AB461" s="4750"/>
      <c r="AC461" s="4748" t="s">
        <v>657</v>
      </c>
      <c r="AD461" s="4749"/>
      <c r="AE461" s="4749"/>
      <c r="AF461" s="4749"/>
      <c r="AG461" s="4749"/>
      <c r="AH461" s="4749"/>
      <c r="AI461" s="4749"/>
      <c r="AJ461" s="4750"/>
      <c r="AK461" s="1988" t="s">
        <v>623</v>
      </c>
      <c r="AL461" s="1978"/>
      <c r="AM461" s="1979"/>
      <c r="AN461" s="1979" t="str">
        <f t="shared" si="7"/>
        <v>Группа потребителей</v>
      </c>
      <c r="AO461" s="1979"/>
      <c r="AP461" s="1979"/>
    </row>
    <row r="462" spans="1:42" s="3835" customFormat="1" ht="23.25" customHeight="1">
      <c r="A462" s="1967"/>
      <c r="B462" s="1967"/>
      <c r="C462" s="1967"/>
      <c r="D462" s="1967"/>
      <c r="E462" s="4760" t="s">
        <v>389</v>
      </c>
      <c r="F462" s="4760"/>
      <c r="G462" s="4760"/>
      <c r="H462" s="4760"/>
      <c r="I462" s="4780"/>
      <c r="J462" s="4780"/>
      <c r="K462" s="4757" t="str">
        <f>J461&amp;".1"</f>
        <v>17.1.1.1.1.1</v>
      </c>
      <c r="L462" s="1968"/>
      <c r="M462" s="1969"/>
      <c r="N462" s="1969"/>
      <c r="O462" s="1969"/>
      <c r="P462" s="4758"/>
      <c r="Q462" s="4758"/>
      <c r="R462" s="1981">
        <v>1</v>
      </c>
      <c r="S462" s="1972" t="str">
        <f>$K462</f>
        <v>17.1.1.1.1.1</v>
      </c>
      <c r="T462" s="1973" t="s">
        <v>658</v>
      </c>
      <c r="U462" s="1974"/>
      <c r="V462" s="1975"/>
      <c r="W462" s="1975"/>
      <c r="X462" s="1976"/>
      <c r="Y462" s="4762"/>
      <c r="Z462" s="4608" t="s">
        <v>65</v>
      </c>
      <c r="AA462" s="4762"/>
      <c r="AB462" s="4608" t="s">
        <v>65</v>
      </c>
      <c r="AC462" s="1975">
        <v>19.09</v>
      </c>
      <c r="AD462" s="1975"/>
      <c r="AE462" s="1976"/>
      <c r="AF462" s="4762">
        <v>45292</v>
      </c>
      <c r="AG462" s="4608" t="s">
        <v>65</v>
      </c>
      <c r="AH462" s="4781">
        <v>45473</v>
      </c>
      <c r="AI462" s="4608" t="s">
        <v>65</v>
      </c>
      <c r="AJ462" s="1977"/>
      <c r="AK46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2" s="1978" t="e">
        <f ca="1">STRCHECKDATE(V463:AJ463)</f>
        <v>#NAME?</v>
      </c>
      <c r="AM462" s="1979"/>
      <c r="AN462" s="1979" t="str">
        <f t="shared" si="7"/>
        <v>Население (с учетом НДС)</v>
      </c>
      <c r="AO462" s="1979"/>
      <c r="AP462" s="1979"/>
    </row>
    <row r="463" spans="1:42" s="3836" customFormat="1" ht="14.25" customHeight="1">
      <c r="A463" s="1967"/>
      <c r="B463" s="1967"/>
      <c r="C463" s="1967"/>
      <c r="D463" s="1967"/>
      <c r="E463" s="4760" t="s">
        <v>389</v>
      </c>
      <c r="F463" s="4760"/>
      <c r="G463" s="4760"/>
      <c r="H463" s="4760"/>
      <c r="I463" s="4780"/>
      <c r="J463" s="4780"/>
      <c r="K463" s="4757"/>
      <c r="L463" s="1968"/>
      <c r="M463" s="1969"/>
      <c r="N463" s="1969"/>
      <c r="O463" s="1969"/>
      <c r="P463" s="4758"/>
      <c r="Q463" s="4758"/>
      <c r="R463" s="1981"/>
      <c r="S463" s="1982"/>
      <c r="T463" s="1974"/>
      <c r="U463" s="1974"/>
      <c r="V463" s="1983"/>
      <c r="W463" s="1983"/>
      <c r="X463" s="1984" t="str">
        <f>Y462&amp;"-"&amp;AA462</f>
        <v>-</v>
      </c>
      <c r="Y463" s="4763"/>
      <c r="Z463" s="4608"/>
      <c r="AA463" s="4763"/>
      <c r="AB463" s="4608"/>
      <c r="AC463" s="1983"/>
      <c r="AD463" s="1983"/>
      <c r="AE463" s="1984" t="str">
        <f>AF462&amp;"-"&amp;AH462</f>
        <v>45292-45473</v>
      </c>
      <c r="AF463" s="4763"/>
      <c r="AG463" s="4608"/>
      <c r="AH463" s="4782"/>
      <c r="AI463" s="4608"/>
      <c r="AJ463" s="1985"/>
      <c r="AK463" s="4817"/>
      <c r="AL463" s="1978"/>
      <c r="AM463" s="1979"/>
      <c r="AN463" s="1979" t="str">
        <f t="shared" si="7"/>
        <v/>
      </c>
      <c r="AO463" s="1979"/>
      <c r="AP463" s="1979"/>
    </row>
    <row r="464" spans="1:42" s="3837" customFormat="1" ht="23.25" customHeight="1">
      <c r="A464" s="1967"/>
      <c r="B464" s="1967"/>
      <c r="C464" s="1967"/>
      <c r="D464" s="1967"/>
      <c r="E464" s="4760"/>
      <c r="F464" s="4760"/>
      <c r="G464" s="4760"/>
      <c r="H464" s="4760"/>
      <c r="I464" s="4780"/>
      <c r="J464" s="4780"/>
      <c r="K464" s="4757" t="str">
        <f>J461&amp;".2"</f>
        <v>17.1.1.1.1.2</v>
      </c>
      <c r="L464" s="1968"/>
      <c r="M464" s="1969"/>
      <c r="N464" s="1969"/>
      <c r="O464" s="1969"/>
      <c r="P464" s="4758"/>
      <c r="Q464" s="4758"/>
      <c r="R464" s="1971" t="s">
        <v>102</v>
      </c>
      <c r="S464" s="1972" t="str">
        <f>$K464</f>
        <v>17.1.1.1.1.2</v>
      </c>
      <c r="T464" s="1973" t="s">
        <v>658</v>
      </c>
      <c r="U464" s="1974"/>
      <c r="V464" s="1975"/>
      <c r="W464" s="1975"/>
      <c r="X464" s="1976"/>
      <c r="Y464" s="4762"/>
      <c r="Z464" s="4608" t="s">
        <v>65</v>
      </c>
      <c r="AA464" s="4762"/>
      <c r="AB464" s="4608" t="s">
        <v>65</v>
      </c>
      <c r="AC464" s="1975">
        <v>20.8</v>
      </c>
      <c r="AD464" s="1975"/>
      <c r="AE464" s="1976"/>
      <c r="AF464" s="4762">
        <v>45474</v>
      </c>
      <c r="AG464" s="4608" t="s">
        <v>65</v>
      </c>
      <c r="AH464" s="4781">
        <v>45657</v>
      </c>
      <c r="AI464" s="4608" t="s">
        <v>65</v>
      </c>
      <c r="AJ464" s="1977"/>
      <c r="AK46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4" s="1978" t="e">
        <f ca="1">STRCHECKDATE(V465:AJ465)</f>
        <v>#NAME?</v>
      </c>
      <c r="AM464" s="1979"/>
      <c r="AN464" s="1979" t="str">
        <f t="shared" si="7"/>
        <v>Население (с учетом НДС)</v>
      </c>
      <c r="AO464" s="1979"/>
      <c r="AP464" s="1979"/>
    </row>
    <row r="465" spans="1:42" s="3838" customFormat="1" ht="14.25" customHeight="1">
      <c r="A465" s="1967"/>
      <c r="B465" s="1967"/>
      <c r="C465" s="1967"/>
      <c r="D465" s="1967"/>
      <c r="E465" s="4760"/>
      <c r="F465" s="4760"/>
      <c r="G465" s="4760"/>
      <c r="H465" s="4760"/>
      <c r="I465" s="4780"/>
      <c r="J465" s="4780"/>
      <c r="K465" s="4757" t="str">
        <f>J461&amp;".1"</f>
        <v>17.1.1.1.1.1</v>
      </c>
      <c r="L465" s="1968"/>
      <c r="M465" s="1969"/>
      <c r="N465" s="1969"/>
      <c r="O465" s="1969"/>
      <c r="P465" s="4758"/>
      <c r="Q465" s="4758"/>
      <c r="R465" s="1981"/>
      <c r="S465" s="1982"/>
      <c r="T465" s="1974"/>
      <c r="U465" s="1974"/>
      <c r="V465" s="1983"/>
      <c r="W465" s="1983"/>
      <c r="X465" s="1984" t="str">
        <f>Y464&amp;"-"&amp;AA464</f>
        <v>-</v>
      </c>
      <c r="Y465" s="4763"/>
      <c r="Z465" s="4608"/>
      <c r="AA465" s="4763"/>
      <c r="AB465" s="4608"/>
      <c r="AC465" s="1983"/>
      <c r="AD465" s="1983"/>
      <c r="AE465" s="1984" t="str">
        <f>AF464&amp;"-"&amp;AH464</f>
        <v>45474-45657</v>
      </c>
      <c r="AF465" s="4763"/>
      <c r="AG465" s="4608"/>
      <c r="AH465" s="4782"/>
      <c r="AI465" s="4608"/>
      <c r="AJ465" s="1985"/>
      <c r="AK465" s="4817"/>
      <c r="AL465" s="1978"/>
      <c r="AM465" s="1979"/>
      <c r="AN465" s="1979" t="str">
        <f t="shared" si="7"/>
        <v/>
      </c>
      <c r="AO465" s="1979"/>
      <c r="AP465" s="1979"/>
    </row>
    <row r="466" spans="1:42" s="3839" customFormat="1" ht="21" customHeight="1">
      <c r="A466" s="1967"/>
      <c r="B466" s="1967"/>
      <c r="C466" s="1967"/>
      <c r="D466" s="1967"/>
      <c r="E466" s="4760" t="s">
        <v>389</v>
      </c>
      <c r="F466" s="4760"/>
      <c r="G466" s="4760"/>
      <c r="H466" s="4760"/>
      <c r="I466" s="4780"/>
      <c r="J466" s="4757"/>
      <c r="K466" s="1967"/>
      <c r="L466" s="1968"/>
      <c r="M466" s="1969"/>
      <c r="N466" s="1969"/>
      <c r="O466" s="1969"/>
      <c r="P466" s="4758"/>
      <c r="Q466" s="4758"/>
      <c r="R466" s="1994"/>
      <c r="S466" s="3840"/>
      <c r="T466" s="3841" t="s">
        <v>624</v>
      </c>
      <c r="U466" s="3842"/>
      <c r="V466" s="3843"/>
      <c r="W466" s="3844"/>
      <c r="X466" s="3845"/>
      <c r="Y466" s="3846"/>
      <c r="Z466" s="3847"/>
      <c r="AA466" s="3848"/>
      <c r="AB466" s="3849"/>
      <c r="AC466" s="3850"/>
      <c r="AD466" s="3851"/>
      <c r="AE466" s="3852"/>
      <c r="AF466" s="3853"/>
      <c r="AG466" s="3854"/>
      <c r="AH466" s="3855"/>
      <c r="AI466" s="3856"/>
      <c r="AJ466" s="3857"/>
      <c r="AK466" s="2013" t="s">
        <v>625</v>
      </c>
      <c r="AL466" s="1978"/>
      <c r="AM466" s="1979"/>
      <c r="AN466" s="1979" t="str">
        <f t="shared" si="7"/>
        <v>Добавить значение признака дифференциации</v>
      </c>
      <c r="AO466" s="1979"/>
      <c r="AP466" s="1979"/>
    </row>
    <row r="467" spans="1:42" s="3858" customFormat="1" ht="23.25" customHeight="1">
      <c r="A467" s="1967"/>
      <c r="B467" s="1967"/>
      <c r="C467" s="1967"/>
      <c r="D467" s="1967"/>
      <c r="E467" s="4760"/>
      <c r="F467" s="4760"/>
      <c r="G467" s="4760"/>
      <c r="H467" s="4760"/>
      <c r="I467" s="4780"/>
      <c r="J467" s="4757" t="str">
        <f>I460&amp;".2"</f>
        <v>17.1.1.1.2</v>
      </c>
      <c r="K467" s="1967"/>
      <c r="L467" s="1968" t="s">
        <v>547</v>
      </c>
      <c r="M467" s="1969"/>
      <c r="N467" s="1969"/>
      <c r="O467" s="1969"/>
      <c r="P467" s="4758"/>
      <c r="Q467" s="4833" t="s">
        <v>102</v>
      </c>
      <c r="R467" s="1981"/>
      <c r="S467" s="1972" t="str">
        <f>$J467</f>
        <v>17.1.1.1.2</v>
      </c>
      <c r="T467" s="1987" t="s">
        <v>548</v>
      </c>
      <c r="U467" s="1974"/>
      <c r="V467" s="4748"/>
      <c r="W467" s="4749"/>
      <c r="X467" s="4749"/>
      <c r="Y467" s="4749"/>
      <c r="Z467" s="4749"/>
      <c r="AA467" s="4749"/>
      <c r="AB467" s="4750"/>
      <c r="AC467" s="4748" t="s">
        <v>659</v>
      </c>
      <c r="AD467" s="4749"/>
      <c r="AE467" s="4749"/>
      <c r="AF467" s="4749"/>
      <c r="AG467" s="4749"/>
      <c r="AH467" s="4749"/>
      <c r="AI467" s="4749"/>
      <c r="AJ467" s="4750"/>
      <c r="AK467" s="1988" t="s">
        <v>623</v>
      </c>
      <c r="AL467" s="1978"/>
      <c r="AM467" s="1979"/>
      <c r="AN467" s="1979" t="str">
        <f t="shared" si="7"/>
        <v>Группа потребителей</v>
      </c>
      <c r="AO467" s="1979"/>
      <c r="AP467" s="1979"/>
    </row>
    <row r="468" spans="1:42" s="3859" customFormat="1" ht="23.25" customHeight="1">
      <c r="A468" s="1967"/>
      <c r="B468" s="1967"/>
      <c r="C468" s="1967"/>
      <c r="D468" s="1967"/>
      <c r="E468" s="4760"/>
      <c r="F468" s="4760"/>
      <c r="G468" s="4760"/>
      <c r="H468" s="4760"/>
      <c r="I468" s="4780"/>
      <c r="J468" s="4780" t="str">
        <f>I460&amp;".1"</f>
        <v>17.1.1.1.1</v>
      </c>
      <c r="K468" s="4757" t="str">
        <f>J467&amp;".1"</f>
        <v>17.1.1.1.2.1</v>
      </c>
      <c r="L468" s="1968"/>
      <c r="M468" s="1969"/>
      <c r="N468" s="1969"/>
      <c r="O468" s="1969"/>
      <c r="P468" s="4758"/>
      <c r="Q468" s="4758"/>
      <c r="R468" s="1981">
        <v>1</v>
      </c>
      <c r="S468" s="1972" t="str">
        <f>$K468</f>
        <v>17.1.1.1.2.1</v>
      </c>
      <c r="T468" s="1973" t="s">
        <v>660</v>
      </c>
      <c r="U468" s="1974"/>
      <c r="V468" s="1975"/>
      <c r="W468" s="1975"/>
      <c r="X468" s="1976"/>
      <c r="Y468" s="4762"/>
      <c r="Z468" s="4608" t="s">
        <v>65</v>
      </c>
      <c r="AA468" s="4762"/>
      <c r="AB468" s="4608" t="s">
        <v>65</v>
      </c>
      <c r="AC468" s="1975">
        <v>15.91</v>
      </c>
      <c r="AD468" s="1975"/>
      <c r="AE468" s="1976"/>
      <c r="AF468" s="4762">
        <v>45292</v>
      </c>
      <c r="AG468" s="4608" t="s">
        <v>65</v>
      </c>
      <c r="AH468" s="4781">
        <v>45473</v>
      </c>
      <c r="AI468" s="4608" t="s">
        <v>65</v>
      </c>
      <c r="AJ468" s="1977"/>
      <c r="AK46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8" s="1978" t="e">
        <f ca="1">STRCHECKDATE(V469:AJ469)</f>
        <v>#NAME?</v>
      </c>
      <c r="AM468" s="1979"/>
      <c r="AN468" s="1979" t="str">
        <f t="shared" si="7"/>
        <v>Потребители, кроме населения (без учета НДС)</v>
      </c>
      <c r="AO468" s="1979"/>
      <c r="AP468" s="1979"/>
    </row>
    <row r="469" spans="1:42" s="3860" customFormat="1" ht="14.25" customHeight="1">
      <c r="A469" s="1967"/>
      <c r="B469" s="1967"/>
      <c r="C469" s="1967"/>
      <c r="D469" s="1967"/>
      <c r="E469" s="4760"/>
      <c r="F469" s="4760"/>
      <c r="G469" s="4760"/>
      <c r="H469" s="4760"/>
      <c r="I469" s="4780"/>
      <c r="J469" s="4780" t="str">
        <f>I460&amp;".1"</f>
        <v>17.1.1.1.1</v>
      </c>
      <c r="K469" s="4757"/>
      <c r="L469" s="1968"/>
      <c r="M469" s="1969"/>
      <c r="N469" s="1969"/>
      <c r="O469" s="1969"/>
      <c r="P469" s="4758"/>
      <c r="Q469" s="4758"/>
      <c r="R469" s="1981"/>
      <c r="S469" s="1982"/>
      <c r="T469" s="1974"/>
      <c r="U469" s="1974"/>
      <c r="V469" s="1983"/>
      <c r="W469" s="1983"/>
      <c r="X469" s="1984" t="str">
        <f>Y468&amp;"-"&amp;AA468</f>
        <v>-</v>
      </c>
      <c r="Y469" s="4763"/>
      <c r="Z469" s="4608"/>
      <c r="AA469" s="4763"/>
      <c r="AB469" s="4608"/>
      <c r="AC469" s="1983"/>
      <c r="AD469" s="1983"/>
      <c r="AE469" s="1984" t="str">
        <f>AF468&amp;"-"&amp;AH468</f>
        <v>45292-45473</v>
      </c>
      <c r="AF469" s="4763"/>
      <c r="AG469" s="4608"/>
      <c r="AH469" s="4782"/>
      <c r="AI469" s="4608"/>
      <c r="AJ469" s="1985"/>
      <c r="AK469" s="4817"/>
      <c r="AL469" s="1978"/>
      <c r="AM469" s="1979"/>
      <c r="AN469" s="1979" t="str">
        <f t="shared" si="7"/>
        <v/>
      </c>
      <c r="AO469" s="1979"/>
      <c r="AP469" s="1979"/>
    </row>
    <row r="470" spans="1:42" s="3861" customFormat="1" ht="23.25" customHeight="1">
      <c r="A470" s="1967"/>
      <c r="B470" s="1967"/>
      <c r="C470" s="1967"/>
      <c r="D470" s="1967"/>
      <c r="E470" s="4760"/>
      <c r="F470" s="4760"/>
      <c r="G470" s="4760"/>
      <c r="H470" s="4760"/>
      <c r="I470" s="4780"/>
      <c r="J470" s="4780"/>
      <c r="K470" s="4757" t="str">
        <f>J467&amp;".2"</f>
        <v>17.1.1.1.2.2</v>
      </c>
      <c r="L470" s="1968"/>
      <c r="M470" s="1969"/>
      <c r="N470" s="1969"/>
      <c r="O470" s="1969"/>
      <c r="P470" s="4758"/>
      <c r="Q470" s="4758"/>
      <c r="R470" s="1971" t="s">
        <v>102</v>
      </c>
      <c r="S470" s="1972" t="str">
        <f>$K470</f>
        <v>17.1.1.1.2.2</v>
      </c>
      <c r="T470" s="1973" t="s">
        <v>660</v>
      </c>
      <c r="U470" s="1974"/>
      <c r="V470" s="1975"/>
      <c r="W470" s="1975"/>
      <c r="X470" s="1976"/>
      <c r="Y470" s="4762"/>
      <c r="Z470" s="4608" t="s">
        <v>65</v>
      </c>
      <c r="AA470" s="4762"/>
      <c r="AB470" s="4608" t="s">
        <v>65</v>
      </c>
      <c r="AC470" s="1975">
        <v>54.64</v>
      </c>
      <c r="AD470" s="1975"/>
      <c r="AE470" s="1976"/>
      <c r="AF470" s="4762">
        <v>45474</v>
      </c>
      <c r="AG470" s="4608" t="s">
        <v>65</v>
      </c>
      <c r="AH470" s="4781">
        <v>45657</v>
      </c>
      <c r="AI470" s="4608" t="s">
        <v>65</v>
      </c>
      <c r="AJ470" s="1977"/>
      <c r="AK47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0" s="1978" t="e">
        <f ca="1">STRCHECKDATE(V471:AJ471)</f>
        <v>#NAME?</v>
      </c>
      <c r="AM470" s="1979"/>
      <c r="AN470" s="1979" t="str">
        <f t="shared" si="7"/>
        <v>Потребители, кроме населения (без учета НДС)</v>
      </c>
      <c r="AO470" s="1979"/>
      <c r="AP470" s="1979"/>
    </row>
    <row r="471" spans="1:42" s="3862" customFormat="1" ht="14.25" customHeight="1">
      <c r="A471" s="1967"/>
      <c r="B471" s="1967"/>
      <c r="C471" s="1967"/>
      <c r="D471" s="1967"/>
      <c r="E471" s="4760"/>
      <c r="F471" s="4760"/>
      <c r="G471" s="4760"/>
      <c r="H471" s="4760"/>
      <c r="I471" s="4780"/>
      <c r="J471" s="4780"/>
      <c r="K471" s="4757" t="str">
        <f>J467&amp;".1"</f>
        <v>17.1.1.1.2.1</v>
      </c>
      <c r="L471" s="1968"/>
      <c r="M471" s="1969"/>
      <c r="N471" s="1969"/>
      <c r="O471" s="1969"/>
      <c r="P471" s="4758"/>
      <c r="Q471" s="4758"/>
      <c r="R471" s="1981"/>
      <c r="S471" s="1982"/>
      <c r="T471" s="1974"/>
      <c r="U471" s="1974"/>
      <c r="V471" s="1983"/>
      <c r="W471" s="1983"/>
      <c r="X471" s="1984" t="str">
        <f>Y470&amp;"-"&amp;AA470</f>
        <v>-</v>
      </c>
      <c r="Y471" s="4763"/>
      <c r="Z471" s="4608"/>
      <c r="AA471" s="4763"/>
      <c r="AB471" s="4608"/>
      <c r="AC471" s="1983"/>
      <c r="AD471" s="1983"/>
      <c r="AE471" s="1984" t="str">
        <f>AF470&amp;"-"&amp;AH470</f>
        <v>45474-45657</v>
      </c>
      <c r="AF471" s="4763"/>
      <c r="AG471" s="4608"/>
      <c r="AH471" s="4782"/>
      <c r="AI471" s="4608"/>
      <c r="AJ471" s="1985"/>
      <c r="AK471" s="4817"/>
      <c r="AL471" s="1978"/>
      <c r="AM471" s="1979"/>
      <c r="AN471" s="1979" t="str">
        <f t="shared" si="7"/>
        <v/>
      </c>
      <c r="AO471" s="1979"/>
      <c r="AP471" s="1979"/>
    </row>
    <row r="472" spans="1:42" s="3863" customFormat="1" ht="21" customHeight="1">
      <c r="A472" s="1967"/>
      <c r="B472" s="1967"/>
      <c r="C472" s="1967"/>
      <c r="D472" s="1967"/>
      <c r="E472" s="4760"/>
      <c r="F472" s="4760"/>
      <c r="G472" s="4760"/>
      <c r="H472" s="4760"/>
      <c r="I472" s="4780"/>
      <c r="J472" s="4757" t="str">
        <f>I460&amp;".1"</f>
        <v>17.1.1.1.1</v>
      </c>
      <c r="K472" s="1967"/>
      <c r="L472" s="1968"/>
      <c r="M472" s="1969"/>
      <c r="N472" s="1969"/>
      <c r="O472" s="1969"/>
      <c r="P472" s="4758"/>
      <c r="Q472" s="4758"/>
      <c r="R472" s="1994"/>
      <c r="S472" s="3864"/>
      <c r="T472" s="3865" t="s">
        <v>624</v>
      </c>
      <c r="U472" s="3866"/>
      <c r="V472" s="3867"/>
      <c r="W472" s="3868"/>
      <c r="X472" s="3869"/>
      <c r="Y472" s="3870"/>
      <c r="Z472" s="3871"/>
      <c r="AA472" s="3872"/>
      <c r="AB472" s="3873"/>
      <c r="AC472" s="3874"/>
      <c r="AD472" s="3875"/>
      <c r="AE472" s="3876"/>
      <c r="AF472" s="3877"/>
      <c r="AG472" s="3878"/>
      <c r="AH472" s="3879"/>
      <c r="AI472" s="3880"/>
      <c r="AJ472" s="3881"/>
      <c r="AK472" s="2013" t="s">
        <v>625</v>
      </c>
      <c r="AL472" s="1978"/>
      <c r="AM472" s="1979"/>
      <c r="AN472" s="1979" t="str">
        <f t="shared" si="7"/>
        <v>Добавить значение признака дифференциации</v>
      </c>
      <c r="AO472" s="1979"/>
      <c r="AP472" s="1979"/>
    </row>
    <row r="473" spans="1:42" s="3882" customFormat="1" ht="23.25" customHeight="1">
      <c r="A473" s="1967"/>
      <c r="B473" s="1967"/>
      <c r="C473" s="1967"/>
      <c r="D473" s="1967"/>
      <c r="E473" s="4760"/>
      <c r="F473" s="4760"/>
      <c r="G473" s="4760"/>
      <c r="H473" s="4760"/>
      <c r="I473" s="4780"/>
      <c r="J473" s="4757" t="str">
        <f>I460&amp;".3"</f>
        <v>17.1.1.1.3</v>
      </c>
      <c r="K473" s="1967"/>
      <c r="L473" s="1968" t="s">
        <v>547</v>
      </c>
      <c r="M473" s="1969"/>
      <c r="N473" s="1969"/>
      <c r="O473" s="1969"/>
      <c r="P473" s="4758"/>
      <c r="Q473" s="4833" t="s">
        <v>102</v>
      </c>
      <c r="R473" s="1981"/>
      <c r="S473" s="1972" t="str">
        <f>$J473</f>
        <v>17.1.1.1.3</v>
      </c>
      <c r="T473" s="1987" t="s">
        <v>548</v>
      </c>
      <c r="U473" s="1974"/>
      <c r="V473" s="4748"/>
      <c r="W473" s="4749"/>
      <c r="X473" s="4749"/>
      <c r="Y473" s="4749"/>
      <c r="Z473" s="4749"/>
      <c r="AA473" s="4749"/>
      <c r="AB473" s="4750"/>
      <c r="AC473" s="4748" t="s">
        <v>661</v>
      </c>
      <c r="AD473" s="4749"/>
      <c r="AE473" s="4749"/>
      <c r="AF473" s="4749"/>
      <c r="AG473" s="4749"/>
      <c r="AH473" s="4749"/>
      <c r="AI473" s="4749"/>
      <c r="AJ473" s="4750"/>
      <c r="AK473" s="1988" t="s">
        <v>623</v>
      </c>
      <c r="AL473" s="1978"/>
      <c r="AM473" s="1979"/>
      <c r="AN473" s="1979" t="str">
        <f t="shared" si="7"/>
        <v>Группа потребителей</v>
      </c>
      <c r="AO473" s="1979"/>
      <c r="AP473" s="1979"/>
    </row>
    <row r="474" spans="1:42" s="3883" customFormat="1" ht="23.25" customHeight="1">
      <c r="A474" s="1967"/>
      <c r="B474" s="1967"/>
      <c r="C474" s="1967"/>
      <c r="D474" s="1967"/>
      <c r="E474" s="4760"/>
      <c r="F474" s="4760"/>
      <c r="G474" s="4760"/>
      <c r="H474" s="4760"/>
      <c r="I474" s="4780"/>
      <c r="J474" s="4780" t="str">
        <f>I460&amp;".2"</f>
        <v>17.1.1.1.2</v>
      </c>
      <c r="K474" s="4757" t="str">
        <f>J473&amp;".1"</f>
        <v>17.1.1.1.3.1</v>
      </c>
      <c r="L474" s="1968"/>
      <c r="M474" s="1969"/>
      <c r="N474" s="1969"/>
      <c r="O474" s="1969"/>
      <c r="P474" s="4758"/>
      <c r="Q474" s="4758"/>
      <c r="R474" s="1981">
        <v>1</v>
      </c>
      <c r="S474" s="1972" t="str">
        <f>$K474</f>
        <v>17.1.1.1.3.1</v>
      </c>
      <c r="T474" s="1973" t="s">
        <v>660</v>
      </c>
      <c r="U474" s="1974"/>
      <c r="V474" s="1975"/>
      <c r="W474" s="1975"/>
      <c r="X474" s="1976"/>
      <c r="Y474" s="4762"/>
      <c r="Z474" s="4608" t="s">
        <v>65</v>
      </c>
      <c r="AA474" s="4762"/>
      <c r="AB474" s="4608" t="s">
        <v>65</v>
      </c>
      <c r="AC474" s="1975">
        <v>15.91</v>
      </c>
      <c r="AD474" s="1975"/>
      <c r="AE474" s="1976"/>
      <c r="AF474" s="4762">
        <v>45292</v>
      </c>
      <c r="AG474" s="4608" t="s">
        <v>65</v>
      </c>
      <c r="AH474" s="4781">
        <v>45473</v>
      </c>
      <c r="AI474" s="4608" t="s">
        <v>65</v>
      </c>
      <c r="AJ474" s="1977"/>
      <c r="AK47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4" s="1978" t="e">
        <f ca="1">STRCHECKDATE(V475:AJ475)</f>
        <v>#NAME?</v>
      </c>
      <c r="AM474" s="1979"/>
      <c r="AN474" s="1979" t="str">
        <f t="shared" si="7"/>
        <v>Потребители, кроме населения (без учета НДС)</v>
      </c>
      <c r="AO474" s="1979"/>
      <c r="AP474" s="1979"/>
    </row>
    <row r="475" spans="1:42" s="3884" customFormat="1" ht="14.25" customHeight="1">
      <c r="A475" s="1967"/>
      <c r="B475" s="1967"/>
      <c r="C475" s="1967"/>
      <c r="D475" s="1967"/>
      <c r="E475" s="4760"/>
      <c r="F475" s="4760"/>
      <c r="G475" s="4760"/>
      <c r="H475" s="4760"/>
      <c r="I475" s="4780"/>
      <c r="J475" s="4780" t="str">
        <f>I460&amp;".2"</f>
        <v>17.1.1.1.2</v>
      </c>
      <c r="K475" s="4757"/>
      <c r="L475" s="1968"/>
      <c r="M475" s="1969"/>
      <c r="N475" s="1969"/>
      <c r="O475" s="1969"/>
      <c r="P475" s="4758"/>
      <c r="Q475" s="4758"/>
      <c r="R475" s="1981"/>
      <c r="S475" s="1982"/>
      <c r="T475" s="1974"/>
      <c r="U475" s="1974"/>
      <c r="V475" s="1983"/>
      <c r="W475" s="1983"/>
      <c r="X475" s="1984" t="str">
        <f>Y474&amp;"-"&amp;AA474</f>
        <v>-</v>
      </c>
      <c r="Y475" s="4763"/>
      <c r="Z475" s="4608"/>
      <c r="AA475" s="4763"/>
      <c r="AB475" s="4608"/>
      <c r="AC475" s="1983"/>
      <c r="AD475" s="1983"/>
      <c r="AE475" s="1984" t="str">
        <f>AF474&amp;"-"&amp;AH474</f>
        <v>45292-45473</v>
      </c>
      <c r="AF475" s="4763"/>
      <c r="AG475" s="4608"/>
      <c r="AH475" s="4782"/>
      <c r="AI475" s="4608"/>
      <c r="AJ475" s="1985"/>
      <c r="AK475" s="4817"/>
      <c r="AL475" s="1978"/>
      <c r="AM475" s="1979"/>
      <c r="AN475" s="1979" t="str">
        <f t="shared" si="7"/>
        <v/>
      </c>
      <c r="AO475" s="1979"/>
      <c r="AP475" s="1979"/>
    </row>
    <row r="476" spans="1:42" s="3885" customFormat="1" ht="23.25" customHeight="1">
      <c r="A476" s="1967"/>
      <c r="B476" s="1967"/>
      <c r="C476" s="1967"/>
      <c r="D476" s="1967"/>
      <c r="E476" s="4760"/>
      <c r="F476" s="4760"/>
      <c r="G476" s="4760"/>
      <c r="H476" s="4760"/>
      <c r="I476" s="4780"/>
      <c r="J476" s="4780"/>
      <c r="K476" s="4757" t="str">
        <f>J473&amp;".2"</f>
        <v>17.1.1.1.3.2</v>
      </c>
      <c r="L476" s="1968"/>
      <c r="M476" s="1969"/>
      <c r="N476" s="1969"/>
      <c r="O476" s="1969"/>
      <c r="P476" s="4758"/>
      <c r="Q476" s="4758"/>
      <c r="R476" s="1971" t="s">
        <v>102</v>
      </c>
      <c r="S476" s="1972" t="str">
        <f>$K476</f>
        <v>17.1.1.1.3.2</v>
      </c>
      <c r="T476" s="1973" t="s">
        <v>660</v>
      </c>
      <c r="U476" s="1974"/>
      <c r="V476" s="1975"/>
      <c r="W476" s="1975"/>
      <c r="X476" s="1976"/>
      <c r="Y476" s="4762"/>
      <c r="Z476" s="4608" t="s">
        <v>65</v>
      </c>
      <c r="AA476" s="4762"/>
      <c r="AB476" s="4608" t="s">
        <v>65</v>
      </c>
      <c r="AC476" s="1975">
        <v>54.64</v>
      </c>
      <c r="AD476" s="1975"/>
      <c r="AE476" s="1976"/>
      <c r="AF476" s="4762">
        <v>45474</v>
      </c>
      <c r="AG476" s="4608" t="s">
        <v>65</v>
      </c>
      <c r="AH476" s="4781">
        <v>45657</v>
      </c>
      <c r="AI476" s="4608" t="s">
        <v>65</v>
      </c>
      <c r="AJ476" s="1977"/>
      <c r="AK47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6" s="1978" t="e">
        <f ca="1">STRCHECKDATE(V477:AJ477)</f>
        <v>#NAME?</v>
      </c>
      <c r="AM476" s="1979"/>
      <c r="AN476" s="1979" t="str">
        <f t="shared" si="7"/>
        <v>Потребители, кроме населения (без учета НДС)</v>
      </c>
      <c r="AO476" s="1979"/>
      <c r="AP476" s="1979"/>
    </row>
    <row r="477" spans="1:42" s="3886" customFormat="1" ht="14.25" customHeight="1">
      <c r="A477" s="1967"/>
      <c r="B477" s="1967"/>
      <c r="C477" s="1967"/>
      <c r="D477" s="1967"/>
      <c r="E477" s="4760"/>
      <c r="F477" s="4760"/>
      <c r="G477" s="4760"/>
      <c r="H477" s="4760"/>
      <c r="I477" s="4780"/>
      <c r="J477" s="4780"/>
      <c r="K477" s="4757" t="str">
        <f>J473&amp;".1"</f>
        <v>17.1.1.1.3.1</v>
      </c>
      <c r="L477" s="1968"/>
      <c r="M477" s="1969"/>
      <c r="N477" s="1969"/>
      <c r="O477" s="1969"/>
      <c r="P477" s="4758"/>
      <c r="Q477" s="4758"/>
      <c r="R477" s="1981"/>
      <c r="S477" s="1982"/>
      <c r="T477" s="1974"/>
      <c r="U477" s="1974"/>
      <c r="V477" s="1983"/>
      <c r="W477" s="1983"/>
      <c r="X477" s="1984" t="str">
        <f>Y476&amp;"-"&amp;AA476</f>
        <v>-</v>
      </c>
      <c r="Y477" s="4763"/>
      <c r="Z477" s="4608"/>
      <c r="AA477" s="4763"/>
      <c r="AB477" s="4608"/>
      <c r="AC477" s="1983"/>
      <c r="AD477" s="1983"/>
      <c r="AE477" s="1984" t="str">
        <f>AF476&amp;"-"&amp;AH476</f>
        <v>45474-45657</v>
      </c>
      <c r="AF477" s="4763"/>
      <c r="AG477" s="4608"/>
      <c r="AH477" s="4782"/>
      <c r="AI477" s="4608"/>
      <c r="AJ477" s="1985"/>
      <c r="AK477" s="4817"/>
      <c r="AL477" s="1978"/>
      <c r="AM477" s="1979"/>
      <c r="AN477" s="1979" t="str">
        <f t="shared" si="7"/>
        <v/>
      </c>
      <c r="AO477" s="1979"/>
      <c r="AP477" s="1979"/>
    </row>
    <row r="478" spans="1:42" s="3887" customFormat="1" ht="21" customHeight="1">
      <c r="A478" s="1967"/>
      <c r="B478" s="1967"/>
      <c r="C478" s="1967"/>
      <c r="D478" s="1967"/>
      <c r="E478" s="4760"/>
      <c r="F478" s="4760"/>
      <c r="G478" s="4760"/>
      <c r="H478" s="4760"/>
      <c r="I478" s="4780"/>
      <c r="J478" s="4757" t="str">
        <f>I460&amp;".2"</f>
        <v>17.1.1.1.2</v>
      </c>
      <c r="K478" s="1967"/>
      <c r="L478" s="1968"/>
      <c r="M478" s="1969"/>
      <c r="N478" s="1969"/>
      <c r="O478" s="1969"/>
      <c r="P478" s="4758"/>
      <c r="Q478" s="4758"/>
      <c r="R478" s="1994"/>
      <c r="S478" s="3888"/>
      <c r="T478" s="3889" t="s">
        <v>624</v>
      </c>
      <c r="U478" s="3890"/>
      <c r="V478" s="3891"/>
      <c r="W478" s="3892"/>
      <c r="X478" s="3893"/>
      <c r="Y478" s="3894"/>
      <c r="Z478" s="3895"/>
      <c r="AA478" s="3896"/>
      <c r="AB478" s="3897"/>
      <c r="AC478" s="3898"/>
      <c r="AD478" s="3899"/>
      <c r="AE478" s="3900"/>
      <c r="AF478" s="3901"/>
      <c r="AG478" s="3902"/>
      <c r="AH478" s="3903"/>
      <c r="AI478" s="3904"/>
      <c r="AJ478" s="3905"/>
      <c r="AK478" s="2013" t="s">
        <v>625</v>
      </c>
      <c r="AL478" s="1978"/>
      <c r="AM478" s="1979"/>
      <c r="AN478" s="1979" t="str">
        <f t="shared" si="7"/>
        <v>Добавить значение признака дифференциации</v>
      </c>
      <c r="AO478" s="1979"/>
      <c r="AP478" s="1979"/>
    </row>
    <row r="479" spans="1:42" s="3906" customFormat="1" ht="21" customHeight="1">
      <c r="A479" s="1967"/>
      <c r="B479" s="1967"/>
      <c r="C479" s="1967"/>
      <c r="D479" s="1967"/>
      <c r="E479" s="4760" t="s">
        <v>389</v>
      </c>
      <c r="F479" s="4760"/>
      <c r="G479" s="4760"/>
      <c r="H479" s="4760"/>
      <c r="I479" s="4757"/>
      <c r="J479" s="1967"/>
      <c r="K479" s="1967"/>
      <c r="L479" s="1968"/>
      <c r="M479" s="1969"/>
      <c r="N479" s="1969"/>
      <c r="O479" s="1969"/>
      <c r="P479" s="4758"/>
      <c r="Q479" s="1970"/>
      <c r="R479" s="1994"/>
      <c r="S479" s="3907"/>
      <c r="T479" s="3908" t="s">
        <v>553</v>
      </c>
      <c r="U479" s="3909"/>
      <c r="V479" s="3910"/>
      <c r="W479" s="3911"/>
      <c r="X479" s="3912"/>
      <c r="Y479" s="3913"/>
      <c r="Z479" s="3914"/>
      <c r="AA479" s="3915"/>
      <c r="AB479" s="3916"/>
      <c r="AC479" s="3917"/>
      <c r="AD479" s="3918"/>
      <c r="AE479" s="3919"/>
      <c r="AF479" s="3920"/>
      <c r="AG479" s="3921"/>
      <c r="AH479" s="3922"/>
      <c r="AI479" s="3923"/>
      <c r="AJ479" s="3924"/>
      <c r="AK479" s="3925"/>
      <c r="AL479" s="1978"/>
      <c r="AM479" s="1979"/>
      <c r="AN479" s="1979" t="str">
        <f t="shared" si="7"/>
        <v>Добавить группу потребителей</v>
      </c>
      <c r="AO479" s="1979"/>
      <c r="AP479" s="1979"/>
    </row>
    <row r="480" spans="1:42" s="3926" customFormat="1" ht="21" customHeight="1">
      <c r="A480" s="1967"/>
      <c r="B480" s="1967"/>
      <c r="C480" s="1967"/>
      <c r="D480" s="1967"/>
      <c r="E480" s="4760" t="s">
        <v>389</v>
      </c>
      <c r="F480" s="4760"/>
      <c r="G480" s="4760"/>
      <c r="H480" s="4759"/>
      <c r="I480" s="1967"/>
      <c r="J480" s="1967"/>
      <c r="K480" s="1967"/>
      <c r="L480" s="1968"/>
      <c r="M480" s="2039"/>
      <c r="N480" s="2039"/>
      <c r="O480" s="2147"/>
      <c r="P480" s="2041"/>
      <c r="Q480" s="2148"/>
      <c r="R480" s="2042"/>
      <c r="S480" s="3927"/>
      <c r="T480" s="3928" t="s">
        <v>626</v>
      </c>
      <c r="U480" s="3929"/>
      <c r="V480" s="3930"/>
      <c r="W480" s="3931"/>
      <c r="X480" s="3932"/>
      <c r="Y480" s="3933"/>
      <c r="Z480" s="3934"/>
      <c r="AA480" s="3935"/>
      <c r="AB480" s="3936"/>
      <c r="AC480" s="3937"/>
      <c r="AD480" s="3938"/>
      <c r="AE480" s="3939"/>
      <c r="AF480" s="3940"/>
      <c r="AG480" s="3941"/>
      <c r="AH480" s="3942"/>
      <c r="AI480" s="3943"/>
      <c r="AJ480" s="3944"/>
      <c r="AK480" s="3945"/>
      <c r="AL480" s="1978"/>
      <c r="AM480" s="1979"/>
      <c r="AN480" s="1979" t="str">
        <f t="shared" si="7"/>
        <v>Добавить наименование признака дифференциации</v>
      </c>
      <c r="AO480" s="1979"/>
      <c r="AP480" s="1979"/>
    </row>
    <row r="481" spans="1:42" s="3946" customFormat="1" ht="14.25" customHeight="1">
      <c r="A481" s="2169"/>
      <c r="B481" s="2169"/>
      <c r="C481" s="2169"/>
      <c r="D481" s="2169"/>
      <c r="E481" s="4760" t="s">
        <v>389</v>
      </c>
      <c r="F481" s="4759"/>
      <c r="G481" s="2169"/>
      <c r="H481" s="2169"/>
      <c r="I481" s="2169"/>
      <c r="J481" s="2169"/>
      <c r="K481" s="2169"/>
      <c r="L481" s="2170"/>
      <c r="M481" s="2171"/>
      <c r="N481" s="2171"/>
      <c r="O481" s="1978"/>
      <c r="P481" s="2172"/>
      <c r="Q481" s="2173"/>
      <c r="R481" s="2172"/>
      <c r="S481" s="2174"/>
      <c r="T481" s="2175" t="s">
        <v>316</v>
      </c>
      <c r="U481" s="2176"/>
      <c r="V481" s="2176"/>
      <c r="W481" s="2176"/>
      <c r="X481" s="2176"/>
      <c r="Y481" s="2176"/>
      <c r="Z481" s="2176"/>
      <c r="AA481" s="2176"/>
      <c r="AB481" s="2176"/>
      <c r="AC481" s="2176"/>
      <c r="AD481" s="2176"/>
      <c r="AE481" s="2176"/>
      <c r="AF481" s="2176"/>
      <c r="AG481" s="2176"/>
      <c r="AH481" s="2176"/>
      <c r="AI481" s="2176"/>
      <c r="AJ481" s="2176"/>
      <c r="AK481" s="2176"/>
      <c r="AL481" s="1978"/>
      <c r="AM481" s="1979"/>
      <c r="AN481" s="1979" t="str">
        <f t="shared" si="7"/>
        <v>Добавить централизованную систему для дифференциации</v>
      </c>
      <c r="AO481" s="1979"/>
      <c r="AP481" s="1979"/>
    </row>
    <row r="482" spans="1:42" s="3947" customFormat="1" ht="14.25" customHeight="1">
      <c r="A482" s="2169"/>
      <c r="B482" s="2169"/>
      <c r="C482" s="2169"/>
      <c r="D482" s="2169"/>
      <c r="E482" s="4759" t="s">
        <v>389</v>
      </c>
      <c r="F482" s="2169"/>
      <c r="G482" s="2169"/>
      <c r="H482" s="2169"/>
      <c r="I482" s="2169"/>
      <c r="J482" s="2169"/>
      <c r="K482" s="2169"/>
      <c r="L482" s="2170"/>
      <c r="M482" s="2171"/>
      <c r="N482" s="2171"/>
      <c r="O482" s="1978"/>
      <c r="P482" s="2172"/>
      <c r="Q482" s="2173"/>
      <c r="R482" s="2172"/>
      <c r="S482" s="2174"/>
      <c r="T482" s="2175" t="s">
        <v>317</v>
      </c>
      <c r="U482" s="2176"/>
      <c r="V482" s="2176"/>
      <c r="W482" s="2176"/>
      <c r="X482" s="2176"/>
      <c r="Y482" s="2176"/>
      <c r="Z482" s="2176"/>
      <c r="AA482" s="2176"/>
      <c r="AB482" s="2176"/>
      <c r="AC482" s="2176"/>
      <c r="AD482" s="2176"/>
      <c r="AE482" s="2176"/>
      <c r="AF482" s="2176"/>
      <c r="AG482" s="2176"/>
      <c r="AH482" s="2176"/>
      <c r="AI482" s="2176"/>
      <c r="AJ482" s="2176"/>
      <c r="AK482" s="2176"/>
      <c r="AL482" s="1978"/>
      <c r="AM482" s="1979"/>
      <c r="AN482" s="1979" t="str">
        <f t="shared" si="7"/>
        <v>Добавить территорию для дифференциации</v>
      </c>
      <c r="AO482" s="1979"/>
      <c r="AP482" s="1979"/>
    </row>
    <row r="483" spans="1:42" s="3948" customFormat="1" ht="23.25" customHeight="1">
      <c r="A483" s="1967" t="s">
        <v>403</v>
      </c>
      <c r="B483" s="1967"/>
      <c r="C483" s="1967"/>
      <c r="D483" s="1967"/>
      <c r="E483" s="4759" t="s">
        <v>401</v>
      </c>
      <c r="F483" s="1967"/>
      <c r="G483" s="1967"/>
      <c r="H483" s="1967"/>
      <c r="I483" s="1967"/>
      <c r="J483" s="1967"/>
      <c r="K483" s="1967"/>
      <c r="L483" s="1968"/>
      <c r="M483" s="2039"/>
      <c r="N483" s="2039"/>
      <c r="O483" s="2039"/>
      <c r="P483" s="2040"/>
      <c r="Q483" s="2041"/>
      <c r="R483" s="2042"/>
      <c r="S483" s="1972" t="str">
        <f>INDEX(PT_DIFFERENTIATION_NUM_NTAR,MATCH(A483,PT_DIFFERENTIATION_NTAR_ID,0))</f>
        <v>18</v>
      </c>
      <c r="T483" s="2043" t="s">
        <v>185</v>
      </c>
      <c r="U483" s="1974"/>
      <c r="V483" s="4745"/>
      <c r="W483" s="4746"/>
      <c r="X483" s="4746"/>
      <c r="Y483" s="4746"/>
      <c r="Z483" s="4746"/>
      <c r="AA483" s="4746"/>
      <c r="AB483" s="4747"/>
      <c r="AC483" s="4745" t="str">
        <f>INDEX(PT_DIFFERENTIATION_NTAR,MATCH(A483,PT_DIFFERENTIATION_NTAR_ID,0))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AD483" s="4746"/>
      <c r="AE483" s="4746"/>
      <c r="AF483" s="4746"/>
      <c r="AG483" s="4746"/>
      <c r="AH483" s="4746"/>
      <c r="AI483" s="4746"/>
      <c r="AJ483" s="4747"/>
      <c r="AK483" s="20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L483" s="1978"/>
      <c r="AM483" s="1979"/>
      <c r="AN483" s="1979" t="str">
        <f t="shared" si="7"/>
        <v>Наименование тарифа</v>
      </c>
      <c r="AO483" s="1979"/>
      <c r="AP483" s="1979"/>
    </row>
    <row r="484" spans="1:42" s="3949" customFormat="1" ht="23.25" customHeight="1">
      <c r="A484" s="1967"/>
      <c r="B484" s="1967" t="s">
        <v>404</v>
      </c>
      <c r="C484" s="1967"/>
      <c r="D484" s="1967"/>
      <c r="E484" s="4760" t="s">
        <v>395</v>
      </c>
      <c r="F484" s="4759">
        <v>1</v>
      </c>
      <c r="G484" s="1967"/>
      <c r="H484" s="1967"/>
      <c r="I484" s="1967"/>
      <c r="J484" s="1967"/>
      <c r="K484" s="1967"/>
      <c r="L484" s="1968"/>
      <c r="M484" s="2039"/>
      <c r="N484" s="2039"/>
      <c r="O484" s="2039"/>
      <c r="P484" s="2045"/>
      <c r="Q484" s="2046"/>
      <c r="R484" s="2047"/>
      <c r="S484" s="1972" t="str">
        <f>INDEX(PT_DIFFERENTIATION_NUM_TER,MATCH(B484,PT_DIFFERENTIATION_TER_ID,0))</f>
        <v>18.1</v>
      </c>
      <c r="T484" s="2048" t="s">
        <v>538</v>
      </c>
      <c r="U484" s="1974"/>
      <c r="V484" s="4745"/>
      <c r="W484" s="4746"/>
      <c r="X484" s="4746"/>
      <c r="Y484" s="4746"/>
      <c r="Z484" s="4746"/>
      <c r="AA484" s="4746"/>
      <c r="AB484" s="4747"/>
      <c r="AC484" s="4745" t="str">
        <f>INDEX(PT_DIFFERENTIATION_TER,MATCH(B484,PT_DIFFERENTIATION_TER_ID,0))</f>
        <v>Территория 11</v>
      </c>
      <c r="AD484" s="4746"/>
      <c r="AE484" s="4746"/>
      <c r="AF484" s="4746"/>
      <c r="AG484" s="4746"/>
      <c r="AH484" s="4746"/>
      <c r="AI484" s="4746"/>
      <c r="AJ484" s="4747"/>
      <c r="AK484" s="2013" t="s">
        <v>539</v>
      </c>
      <c r="AL484" s="1978"/>
      <c r="AM484" s="1979"/>
      <c r="AN484" s="1979" t="str">
        <f t="shared" si="7"/>
        <v>Территория действия тарифа</v>
      </c>
      <c r="AO484" s="1979"/>
      <c r="AP484" s="1979"/>
    </row>
    <row r="485" spans="1:42" s="3950" customFormat="1" ht="23.25" customHeight="1">
      <c r="A485" s="1967"/>
      <c r="B485" s="1967"/>
      <c r="C485" s="1967" t="s">
        <v>405</v>
      </c>
      <c r="D485" s="1967"/>
      <c r="E485" s="4760" t="s">
        <v>395</v>
      </c>
      <c r="F485" s="4760"/>
      <c r="G485" s="4759">
        <v>1</v>
      </c>
      <c r="H485" s="1967"/>
      <c r="I485" s="1967"/>
      <c r="J485" s="1967"/>
      <c r="K485" s="1967"/>
      <c r="L485" s="1968"/>
      <c r="M485" s="2039"/>
      <c r="N485" s="2039"/>
      <c r="O485" s="2039"/>
      <c r="P485" s="2050"/>
      <c r="Q485" s="2046"/>
      <c r="R485" s="2047"/>
      <c r="S485" s="1972" t="str">
        <f>INDEX(PT_DIFFERENTIATION_NUM_CS,MATCH(C485,PT_DIFFERENTIATION_CS_ID,0))</f>
        <v>18.1.1</v>
      </c>
      <c r="T485" s="2051" t="s">
        <v>652</v>
      </c>
      <c r="U485" s="1974"/>
      <c r="V485" s="4745"/>
      <c r="W485" s="4746"/>
      <c r="X485" s="4746"/>
      <c r="Y485" s="4746"/>
      <c r="Z485" s="4746"/>
      <c r="AA485" s="4746"/>
      <c r="AB485" s="4747"/>
      <c r="AC485" s="4745" t="str">
        <f>INDEX(PT_DIFFERENTIATION_CS,MATCH(C485,PT_DIFFERENTIATION_CS_ID,0))</f>
        <v>без дифференциации</v>
      </c>
      <c r="AD485" s="4746"/>
      <c r="AE485" s="4746"/>
      <c r="AF485" s="4746"/>
      <c r="AG485" s="4746"/>
      <c r="AH485" s="4746"/>
      <c r="AI485" s="4746"/>
      <c r="AJ485" s="4747"/>
      <c r="AK485" s="2013" t="s">
        <v>653</v>
      </c>
      <c r="AL485" s="1978"/>
      <c r="AM485" s="1979"/>
      <c r="AN485" s="1979" t="str">
        <f t="shared" si="7"/>
        <v>Наименование централизованной системы водоотведения</v>
      </c>
      <c r="AO485" s="1979"/>
      <c r="AP485" s="1979"/>
    </row>
    <row r="486" spans="1:42" s="3951" customFormat="1" ht="23.25" customHeight="1">
      <c r="A486" s="1967"/>
      <c r="B486" s="1967"/>
      <c r="C486" s="1967"/>
      <c r="D486" s="1967"/>
      <c r="E486" s="4760" t="s">
        <v>395</v>
      </c>
      <c r="F486" s="4760"/>
      <c r="G486" s="4760"/>
      <c r="H486" s="4760"/>
      <c r="I486" s="4757" t="str">
        <f>S485&amp;".1"</f>
        <v>18.1.1.1</v>
      </c>
      <c r="J486" s="1967"/>
      <c r="K486" s="1967"/>
      <c r="L486" s="1968"/>
      <c r="M486" s="1969"/>
      <c r="N486" s="1969"/>
      <c r="O486" s="1969"/>
      <c r="P486" s="4758">
        <v>1</v>
      </c>
      <c r="Q486" s="1970"/>
      <c r="R486" s="1994"/>
      <c r="S486" s="1972" t="str">
        <f>$I486</f>
        <v>18.1.1.1</v>
      </c>
      <c r="T486" s="2053" t="s">
        <v>621</v>
      </c>
      <c r="U486" s="1974"/>
      <c r="V486" s="4818"/>
      <c r="W486" s="4819"/>
      <c r="X486" s="4819"/>
      <c r="Y486" s="4819"/>
      <c r="Z486" s="4819"/>
      <c r="AA486" s="4819"/>
      <c r="AB486" s="4820"/>
      <c r="AC486" s="4821"/>
      <c r="AD486" s="4822"/>
      <c r="AE486" s="4822"/>
      <c r="AF486" s="4822"/>
      <c r="AG486" s="4822"/>
      <c r="AH486" s="4822"/>
      <c r="AI486" s="4822"/>
      <c r="AJ486" s="4823"/>
      <c r="AK486" s="2013" t="s">
        <v>622</v>
      </c>
      <c r="AL486" s="1978"/>
      <c r="AM486" s="1979"/>
      <c r="AN486" s="1979" t="str">
        <f t="shared" si="7"/>
        <v>Наименование признака дифференциации</v>
      </c>
      <c r="AO486" s="1979"/>
      <c r="AP486" s="1979"/>
    </row>
    <row r="487" spans="1:42" s="3952" customFormat="1" ht="23.25" customHeight="1">
      <c r="A487" s="1967"/>
      <c r="B487" s="1967"/>
      <c r="C487" s="1967"/>
      <c r="D487" s="1967"/>
      <c r="E487" s="4760" t="s">
        <v>395</v>
      </c>
      <c r="F487" s="4760"/>
      <c r="G487" s="4760"/>
      <c r="H487" s="4760"/>
      <c r="I487" s="4780"/>
      <c r="J487" s="4757" t="str">
        <f>I486&amp;".1"</f>
        <v>18.1.1.1.1</v>
      </c>
      <c r="K487" s="1967"/>
      <c r="L487" s="1968" t="s">
        <v>547</v>
      </c>
      <c r="M487" s="1969"/>
      <c r="N487" s="1969"/>
      <c r="O487" s="1969"/>
      <c r="P487" s="4758"/>
      <c r="Q487" s="4758">
        <v>1</v>
      </c>
      <c r="R487" s="1981"/>
      <c r="S487" s="1972" t="str">
        <f>$J487</f>
        <v>18.1.1.1.1</v>
      </c>
      <c r="T487" s="1987" t="s">
        <v>548</v>
      </c>
      <c r="U487" s="1974"/>
      <c r="V487" s="4748"/>
      <c r="W487" s="4749"/>
      <c r="X487" s="4749"/>
      <c r="Y487" s="4749"/>
      <c r="Z487" s="4749"/>
      <c r="AA487" s="4749"/>
      <c r="AB487" s="4750"/>
      <c r="AC487" s="4748" t="s">
        <v>657</v>
      </c>
      <c r="AD487" s="4749"/>
      <c r="AE487" s="4749"/>
      <c r="AF487" s="4749"/>
      <c r="AG487" s="4749"/>
      <c r="AH487" s="4749"/>
      <c r="AI487" s="4749"/>
      <c r="AJ487" s="4750"/>
      <c r="AK487" s="1988" t="s">
        <v>623</v>
      </c>
      <c r="AL487" s="1978"/>
      <c r="AM487" s="1979"/>
      <c r="AN487" s="1979" t="str">
        <f t="shared" si="7"/>
        <v>Группа потребителей</v>
      </c>
      <c r="AO487" s="1979"/>
      <c r="AP487" s="1979"/>
    </row>
    <row r="488" spans="1:42" s="3953" customFormat="1" ht="23.25" customHeight="1">
      <c r="A488" s="1967"/>
      <c r="B488" s="1967"/>
      <c r="C488" s="1967"/>
      <c r="D488" s="1967"/>
      <c r="E488" s="4760" t="s">
        <v>395</v>
      </c>
      <c r="F488" s="4760"/>
      <c r="G488" s="4760"/>
      <c r="H488" s="4760"/>
      <c r="I488" s="4780"/>
      <c r="J488" s="4780"/>
      <c r="K488" s="4757" t="str">
        <f>J487&amp;".1"</f>
        <v>18.1.1.1.1.1</v>
      </c>
      <c r="L488" s="1968"/>
      <c r="M488" s="1969"/>
      <c r="N488" s="1969"/>
      <c r="O488" s="1969"/>
      <c r="P488" s="4758"/>
      <c r="Q488" s="4758"/>
      <c r="R488" s="1981">
        <v>1</v>
      </c>
      <c r="S488" s="1972" t="str">
        <f>$K488</f>
        <v>18.1.1.1.1.1</v>
      </c>
      <c r="T488" s="1973" t="s">
        <v>658</v>
      </c>
      <c r="U488" s="1974"/>
      <c r="V488" s="1975"/>
      <c r="W488" s="1975"/>
      <c r="X488" s="1976"/>
      <c r="Y488" s="4762"/>
      <c r="Z488" s="4608" t="s">
        <v>65</v>
      </c>
      <c r="AA488" s="4762"/>
      <c r="AB488" s="4608" t="s">
        <v>65</v>
      </c>
      <c r="AC488" s="1975">
        <v>18.190000000000001</v>
      </c>
      <c r="AD488" s="1975"/>
      <c r="AE488" s="1976"/>
      <c r="AF488" s="4762">
        <v>45292</v>
      </c>
      <c r="AG488" s="4608" t="s">
        <v>65</v>
      </c>
      <c r="AH488" s="4781">
        <v>45473</v>
      </c>
      <c r="AI488" s="4608" t="s">
        <v>65</v>
      </c>
      <c r="AJ488" s="1977"/>
      <c r="AK488"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8" s="1978" t="e">
        <f ca="1">STRCHECKDATE(V489:AJ489)</f>
        <v>#NAME?</v>
      </c>
      <c r="AM488" s="1979"/>
      <c r="AN488" s="1979" t="str">
        <f t="shared" si="7"/>
        <v>Население (с учетом НДС)</v>
      </c>
      <c r="AO488" s="1979"/>
      <c r="AP488" s="1979"/>
    </row>
    <row r="489" spans="1:42" s="3954" customFormat="1" ht="14.25" customHeight="1">
      <c r="A489" s="1967"/>
      <c r="B489" s="1967"/>
      <c r="C489" s="1967"/>
      <c r="D489" s="1967"/>
      <c r="E489" s="4760" t="s">
        <v>395</v>
      </c>
      <c r="F489" s="4760"/>
      <c r="G489" s="4760"/>
      <c r="H489" s="4760"/>
      <c r="I489" s="4780"/>
      <c r="J489" s="4780"/>
      <c r="K489" s="4757"/>
      <c r="L489" s="1968"/>
      <c r="M489" s="1969"/>
      <c r="N489" s="1969"/>
      <c r="O489" s="1969"/>
      <c r="P489" s="4758"/>
      <c r="Q489" s="4758"/>
      <c r="R489" s="1981"/>
      <c r="S489" s="1982"/>
      <c r="T489" s="1974"/>
      <c r="U489" s="1974"/>
      <c r="V489" s="1983"/>
      <c r="W489" s="1983"/>
      <c r="X489" s="1984" t="str">
        <f>Y488&amp;"-"&amp;AA488</f>
        <v>-</v>
      </c>
      <c r="Y489" s="4763"/>
      <c r="Z489" s="4608"/>
      <c r="AA489" s="4763"/>
      <c r="AB489" s="4608"/>
      <c r="AC489" s="1983"/>
      <c r="AD489" s="1983"/>
      <c r="AE489" s="1984" t="str">
        <f>AF488&amp;"-"&amp;AH488</f>
        <v>45292-45473</v>
      </c>
      <c r="AF489" s="4763"/>
      <c r="AG489" s="4608"/>
      <c r="AH489" s="4782"/>
      <c r="AI489" s="4608"/>
      <c r="AJ489" s="1985"/>
      <c r="AK489" s="4817"/>
      <c r="AL489" s="1978"/>
      <c r="AM489" s="1979"/>
      <c r="AN489" s="1979" t="str">
        <f t="shared" ref="AN489:AN509" si="8">IF(T489="","",T489)</f>
        <v/>
      </c>
      <c r="AO489" s="1979"/>
      <c r="AP489" s="1979"/>
    </row>
    <row r="490" spans="1:42" s="3955" customFormat="1" ht="23.25" customHeight="1">
      <c r="A490" s="1967"/>
      <c r="B490" s="1967"/>
      <c r="C490" s="1967"/>
      <c r="D490" s="1967"/>
      <c r="E490" s="4760"/>
      <c r="F490" s="4760"/>
      <c r="G490" s="4760"/>
      <c r="H490" s="4760"/>
      <c r="I490" s="4780"/>
      <c r="J490" s="4780"/>
      <c r="K490" s="4757" t="str">
        <f>J487&amp;".2"</f>
        <v>18.1.1.1.1.2</v>
      </c>
      <c r="L490" s="1968"/>
      <c r="M490" s="1969"/>
      <c r="N490" s="1969"/>
      <c r="O490" s="1969"/>
      <c r="P490" s="4758"/>
      <c r="Q490" s="4758"/>
      <c r="R490" s="1971" t="s">
        <v>102</v>
      </c>
      <c r="S490" s="1972" t="str">
        <f>$K490</f>
        <v>18.1.1.1.1.2</v>
      </c>
      <c r="T490" s="1973" t="s">
        <v>658</v>
      </c>
      <c r="U490" s="1974"/>
      <c r="V490" s="1975"/>
      <c r="W490" s="1975"/>
      <c r="X490" s="1976"/>
      <c r="Y490" s="4762"/>
      <c r="Z490" s="4608" t="s">
        <v>65</v>
      </c>
      <c r="AA490" s="4762"/>
      <c r="AB490" s="4608" t="s">
        <v>65</v>
      </c>
      <c r="AC490" s="1975">
        <v>19.82</v>
      </c>
      <c r="AD490" s="1975"/>
      <c r="AE490" s="1976"/>
      <c r="AF490" s="4762">
        <v>45474</v>
      </c>
      <c r="AG490" s="4608" t="s">
        <v>65</v>
      </c>
      <c r="AH490" s="4781">
        <v>45657</v>
      </c>
      <c r="AI490" s="4608" t="s">
        <v>65</v>
      </c>
      <c r="AJ490" s="1977"/>
      <c r="AK49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0" s="1978" t="e">
        <f ca="1">STRCHECKDATE(V491:AJ491)</f>
        <v>#NAME?</v>
      </c>
      <c r="AM490" s="1979"/>
      <c r="AN490" s="1979" t="str">
        <f t="shared" si="8"/>
        <v>Население (с учетом НДС)</v>
      </c>
      <c r="AO490" s="1979"/>
      <c r="AP490" s="1979"/>
    </row>
    <row r="491" spans="1:42" s="3956" customFormat="1" ht="14.25" customHeight="1">
      <c r="A491" s="1967"/>
      <c r="B491" s="1967"/>
      <c r="C491" s="1967"/>
      <c r="D491" s="1967"/>
      <c r="E491" s="4760"/>
      <c r="F491" s="4760"/>
      <c r="G491" s="4760"/>
      <c r="H491" s="4760"/>
      <c r="I491" s="4780"/>
      <c r="J491" s="4780"/>
      <c r="K491" s="4757" t="str">
        <f>J487&amp;".1"</f>
        <v>18.1.1.1.1.1</v>
      </c>
      <c r="L491" s="1968"/>
      <c r="M491" s="1969"/>
      <c r="N491" s="1969"/>
      <c r="O491" s="1969"/>
      <c r="P491" s="4758"/>
      <c r="Q491" s="4758"/>
      <c r="R491" s="1981"/>
      <c r="S491" s="1982"/>
      <c r="T491" s="1974"/>
      <c r="U491" s="1974"/>
      <c r="V491" s="1983"/>
      <c r="W491" s="1983"/>
      <c r="X491" s="1984" t="str">
        <f>Y490&amp;"-"&amp;AA490</f>
        <v>-</v>
      </c>
      <c r="Y491" s="4763"/>
      <c r="Z491" s="4608"/>
      <c r="AA491" s="4763"/>
      <c r="AB491" s="4608"/>
      <c r="AC491" s="1983"/>
      <c r="AD491" s="1983"/>
      <c r="AE491" s="1984" t="str">
        <f>AF490&amp;"-"&amp;AH490</f>
        <v>45474-45657</v>
      </c>
      <c r="AF491" s="4763"/>
      <c r="AG491" s="4608"/>
      <c r="AH491" s="4782"/>
      <c r="AI491" s="4608"/>
      <c r="AJ491" s="1985"/>
      <c r="AK491" s="4817"/>
      <c r="AL491" s="1978"/>
      <c r="AM491" s="1979"/>
      <c r="AN491" s="1979" t="str">
        <f t="shared" si="8"/>
        <v/>
      </c>
      <c r="AO491" s="1979"/>
      <c r="AP491" s="1979"/>
    </row>
    <row r="492" spans="1:42" s="3957" customFormat="1" ht="21" customHeight="1">
      <c r="A492" s="1967"/>
      <c r="B492" s="1967"/>
      <c r="C492" s="1967"/>
      <c r="D492" s="1967"/>
      <c r="E492" s="4760" t="s">
        <v>395</v>
      </c>
      <c r="F492" s="4760"/>
      <c r="G492" s="4760"/>
      <c r="H492" s="4760"/>
      <c r="I492" s="4780"/>
      <c r="J492" s="4757"/>
      <c r="K492" s="1967"/>
      <c r="L492" s="1968"/>
      <c r="M492" s="1969"/>
      <c r="N492" s="1969"/>
      <c r="O492" s="1969"/>
      <c r="P492" s="4758"/>
      <c r="Q492" s="4758"/>
      <c r="R492" s="1994"/>
      <c r="S492" s="3958"/>
      <c r="T492" s="3959" t="s">
        <v>624</v>
      </c>
      <c r="U492" s="3960"/>
      <c r="V492" s="3961"/>
      <c r="W492" s="3962"/>
      <c r="X492" s="3963"/>
      <c r="Y492" s="3964"/>
      <c r="Z492" s="3965"/>
      <c r="AA492" s="3966"/>
      <c r="AB492" s="3967"/>
      <c r="AC492" s="3968"/>
      <c r="AD492" s="3969"/>
      <c r="AE492" s="3970"/>
      <c r="AF492" s="3971"/>
      <c r="AG492" s="3972"/>
      <c r="AH492" s="3973"/>
      <c r="AI492" s="3974"/>
      <c r="AJ492" s="3975"/>
      <c r="AK492" s="2013" t="s">
        <v>625</v>
      </c>
      <c r="AL492" s="1978"/>
      <c r="AM492" s="1979"/>
      <c r="AN492" s="1979" t="str">
        <f t="shared" si="8"/>
        <v>Добавить значение признака дифференциации</v>
      </c>
      <c r="AO492" s="1979"/>
      <c r="AP492" s="1979"/>
    </row>
    <row r="493" spans="1:42" s="3976" customFormat="1" ht="23.25" customHeight="1">
      <c r="A493" s="1967"/>
      <c r="B493" s="1967"/>
      <c r="C493" s="1967"/>
      <c r="D493" s="1967"/>
      <c r="E493" s="4760"/>
      <c r="F493" s="4760"/>
      <c r="G493" s="4760"/>
      <c r="H493" s="4760"/>
      <c r="I493" s="4780"/>
      <c r="J493" s="4757" t="str">
        <f>I486&amp;".2"</f>
        <v>18.1.1.1.2</v>
      </c>
      <c r="K493" s="1967"/>
      <c r="L493" s="1968" t="s">
        <v>547</v>
      </c>
      <c r="M493" s="1969"/>
      <c r="N493" s="1969"/>
      <c r="O493" s="1969"/>
      <c r="P493" s="4758"/>
      <c r="Q493" s="4833" t="s">
        <v>102</v>
      </c>
      <c r="R493" s="1981"/>
      <c r="S493" s="1972" t="str">
        <f>$J493</f>
        <v>18.1.1.1.2</v>
      </c>
      <c r="T493" s="1987" t="s">
        <v>548</v>
      </c>
      <c r="U493" s="1974"/>
      <c r="V493" s="4748"/>
      <c r="W493" s="4749"/>
      <c r="X493" s="4749"/>
      <c r="Y493" s="4749"/>
      <c r="Z493" s="4749"/>
      <c r="AA493" s="4749"/>
      <c r="AB493" s="4750"/>
      <c r="AC493" s="4748" t="s">
        <v>659</v>
      </c>
      <c r="AD493" s="4749"/>
      <c r="AE493" s="4749"/>
      <c r="AF493" s="4749"/>
      <c r="AG493" s="4749"/>
      <c r="AH493" s="4749"/>
      <c r="AI493" s="4749"/>
      <c r="AJ493" s="4750"/>
      <c r="AK493" s="1988" t="s">
        <v>623</v>
      </c>
      <c r="AL493" s="1978"/>
      <c r="AM493" s="1979"/>
      <c r="AN493" s="1979" t="str">
        <f t="shared" si="8"/>
        <v>Группа потребителей</v>
      </c>
      <c r="AO493" s="1979"/>
      <c r="AP493" s="1979"/>
    </row>
    <row r="494" spans="1:42" s="3977" customFormat="1" ht="23.25" customHeight="1">
      <c r="A494" s="1967"/>
      <c r="B494" s="1967"/>
      <c r="C494" s="1967"/>
      <c r="D494" s="1967"/>
      <c r="E494" s="4760"/>
      <c r="F494" s="4760"/>
      <c r="G494" s="4760"/>
      <c r="H494" s="4760"/>
      <c r="I494" s="4780"/>
      <c r="J494" s="4780" t="str">
        <f>I486&amp;".1"</f>
        <v>18.1.1.1.1</v>
      </c>
      <c r="K494" s="4757" t="str">
        <f>J493&amp;".1"</f>
        <v>18.1.1.1.2.1</v>
      </c>
      <c r="L494" s="1968"/>
      <c r="M494" s="1969"/>
      <c r="N494" s="1969"/>
      <c r="O494" s="1969"/>
      <c r="P494" s="4758"/>
      <c r="Q494" s="4758"/>
      <c r="R494" s="1981">
        <v>1</v>
      </c>
      <c r="S494" s="1972" t="str">
        <f>$K494</f>
        <v>18.1.1.1.2.1</v>
      </c>
      <c r="T494" s="1973" t="s">
        <v>660</v>
      </c>
      <c r="U494" s="1974"/>
      <c r="V494" s="1975"/>
      <c r="W494" s="1975"/>
      <c r="X494" s="1976"/>
      <c r="Y494" s="4762"/>
      <c r="Z494" s="4608" t="s">
        <v>65</v>
      </c>
      <c r="AA494" s="4762"/>
      <c r="AB494" s="4608" t="s">
        <v>65</v>
      </c>
      <c r="AC494" s="1975">
        <v>15.16</v>
      </c>
      <c r="AD494" s="1975"/>
      <c r="AE494" s="1976"/>
      <c r="AF494" s="4762">
        <v>45292</v>
      </c>
      <c r="AG494" s="4608" t="s">
        <v>65</v>
      </c>
      <c r="AH494" s="4781">
        <v>45473</v>
      </c>
      <c r="AI494" s="4608" t="s">
        <v>65</v>
      </c>
      <c r="AJ494" s="1977"/>
      <c r="AK494"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4" s="1978" t="e">
        <f ca="1">STRCHECKDATE(V495:AJ495)</f>
        <v>#NAME?</v>
      </c>
      <c r="AM494" s="1979"/>
      <c r="AN494" s="1979" t="str">
        <f t="shared" si="8"/>
        <v>Потребители, кроме населения (без учета НДС)</v>
      </c>
      <c r="AO494" s="1979"/>
      <c r="AP494" s="1979"/>
    </row>
    <row r="495" spans="1:42" s="3978" customFormat="1" ht="14.25" customHeight="1">
      <c r="A495" s="1967"/>
      <c r="B495" s="1967"/>
      <c r="C495" s="1967"/>
      <c r="D495" s="1967"/>
      <c r="E495" s="4760"/>
      <c r="F495" s="4760"/>
      <c r="G495" s="4760"/>
      <c r="H495" s="4760"/>
      <c r="I495" s="4780"/>
      <c r="J495" s="4780" t="str">
        <f>I486&amp;".1"</f>
        <v>18.1.1.1.1</v>
      </c>
      <c r="K495" s="4757"/>
      <c r="L495" s="1968"/>
      <c r="M495" s="1969"/>
      <c r="N495" s="1969"/>
      <c r="O495" s="1969"/>
      <c r="P495" s="4758"/>
      <c r="Q495" s="4758"/>
      <c r="R495" s="1981"/>
      <c r="S495" s="1982"/>
      <c r="T495" s="1974"/>
      <c r="U495" s="1974"/>
      <c r="V495" s="1983"/>
      <c r="W495" s="1983"/>
      <c r="X495" s="1984" t="str">
        <f>Y494&amp;"-"&amp;AA494</f>
        <v>-</v>
      </c>
      <c r="Y495" s="4763"/>
      <c r="Z495" s="4608"/>
      <c r="AA495" s="4763"/>
      <c r="AB495" s="4608"/>
      <c r="AC495" s="1983"/>
      <c r="AD495" s="1983"/>
      <c r="AE495" s="1984" t="str">
        <f>AF494&amp;"-"&amp;AH494</f>
        <v>45292-45473</v>
      </c>
      <c r="AF495" s="4763"/>
      <c r="AG495" s="4608"/>
      <c r="AH495" s="4782"/>
      <c r="AI495" s="4608"/>
      <c r="AJ495" s="1985"/>
      <c r="AK495" s="4817"/>
      <c r="AL495" s="1978"/>
      <c r="AM495" s="1979"/>
      <c r="AN495" s="1979" t="str">
        <f t="shared" si="8"/>
        <v/>
      </c>
      <c r="AO495" s="1979"/>
      <c r="AP495" s="1979"/>
    </row>
    <row r="496" spans="1:42" s="3979" customFormat="1" ht="23.25" customHeight="1">
      <c r="A496" s="1967"/>
      <c r="B496" s="1967"/>
      <c r="C496" s="1967"/>
      <c r="D496" s="1967"/>
      <c r="E496" s="4760"/>
      <c r="F496" s="4760"/>
      <c r="G496" s="4760"/>
      <c r="H496" s="4760"/>
      <c r="I496" s="4780"/>
      <c r="J496" s="4780"/>
      <c r="K496" s="4757" t="str">
        <f>J493&amp;".2"</f>
        <v>18.1.1.1.2.2</v>
      </c>
      <c r="L496" s="1968"/>
      <c r="M496" s="1969"/>
      <c r="N496" s="1969"/>
      <c r="O496" s="1969"/>
      <c r="P496" s="4758"/>
      <c r="Q496" s="4758"/>
      <c r="R496" s="1971" t="s">
        <v>102</v>
      </c>
      <c r="S496" s="1972" t="str">
        <f>$K496</f>
        <v>18.1.1.1.2.2</v>
      </c>
      <c r="T496" s="1973" t="s">
        <v>660</v>
      </c>
      <c r="U496" s="1974"/>
      <c r="V496" s="1975"/>
      <c r="W496" s="1975"/>
      <c r="X496" s="1976"/>
      <c r="Y496" s="4762"/>
      <c r="Z496" s="4608" t="s">
        <v>65</v>
      </c>
      <c r="AA496" s="4762"/>
      <c r="AB496" s="4608" t="s">
        <v>65</v>
      </c>
      <c r="AC496" s="1975">
        <v>54.64</v>
      </c>
      <c r="AD496" s="1975"/>
      <c r="AE496" s="1976"/>
      <c r="AF496" s="4762">
        <v>45474</v>
      </c>
      <c r="AG496" s="4608" t="s">
        <v>65</v>
      </c>
      <c r="AH496" s="4781">
        <v>45657</v>
      </c>
      <c r="AI496" s="4608" t="s">
        <v>65</v>
      </c>
      <c r="AJ496" s="1977"/>
      <c r="AK49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6" s="1978" t="e">
        <f ca="1">STRCHECKDATE(V497:AJ497)</f>
        <v>#NAME?</v>
      </c>
      <c r="AM496" s="1979"/>
      <c r="AN496" s="1979" t="str">
        <f t="shared" si="8"/>
        <v>Потребители, кроме населения (без учета НДС)</v>
      </c>
      <c r="AO496" s="1979"/>
      <c r="AP496" s="1979"/>
    </row>
    <row r="497" spans="1:42" s="3980" customFormat="1" ht="14.25" customHeight="1">
      <c r="A497" s="1967"/>
      <c r="B497" s="1967"/>
      <c r="C497" s="1967"/>
      <c r="D497" s="1967"/>
      <c r="E497" s="4760"/>
      <c r="F497" s="4760"/>
      <c r="G497" s="4760"/>
      <c r="H497" s="4760"/>
      <c r="I497" s="4780"/>
      <c r="J497" s="4780"/>
      <c r="K497" s="4757" t="str">
        <f>J493&amp;".1"</f>
        <v>18.1.1.1.2.1</v>
      </c>
      <c r="L497" s="1968"/>
      <c r="M497" s="1969"/>
      <c r="N497" s="1969"/>
      <c r="O497" s="1969"/>
      <c r="P497" s="4758"/>
      <c r="Q497" s="4758"/>
      <c r="R497" s="1981"/>
      <c r="S497" s="1982"/>
      <c r="T497" s="1974"/>
      <c r="U497" s="1974"/>
      <c r="V497" s="1983"/>
      <c r="W497" s="1983"/>
      <c r="X497" s="1984" t="str">
        <f>Y496&amp;"-"&amp;AA496</f>
        <v>-</v>
      </c>
      <c r="Y497" s="4763"/>
      <c r="Z497" s="4608"/>
      <c r="AA497" s="4763"/>
      <c r="AB497" s="4608"/>
      <c r="AC497" s="1983"/>
      <c r="AD497" s="1983"/>
      <c r="AE497" s="1984" t="str">
        <f>AF496&amp;"-"&amp;AH496</f>
        <v>45474-45657</v>
      </c>
      <c r="AF497" s="4763"/>
      <c r="AG497" s="4608"/>
      <c r="AH497" s="4782"/>
      <c r="AI497" s="4608"/>
      <c r="AJ497" s="1985"/>
      <c r="AK497" s="4817"/>
      <c r="AL497" s="1978"/>
      <c r="AM497" s="1979"/>
      <c r="AN497" s="1979" t="str">
        <f t="shared" si="8"/>
        <v/>
      </c>
      <c r="AO497" s="1979"/>
      <c r="AP497" s="1979"/>
    </row>
    <row r="498" spans="1:42" s="3981" customFormat="1" ht="21" customHeight="1">
      <c r="A498" s="1967"/>
      <c r="B498" s="1967"/>
      <c r="C498" s="1967"/>
      <c r="D498" s="1967"/>
      <c r="E498" s="4760"/>
      <c r="F498" s="4760"/>
      <c r="G498" s="4760"/>
      <c r="H498" s="4760"/>
      <c r="I498" s="4780"/>
      <c r="J498" s="4757" t="str">
        <f>I486&amp;".1"</f>
        <v>18.1.1.1.1</v>
      </c>
      <c r="K498" s="1967"/>
      <c r="L498" s="1968"/>
      <c r="M498" s="1969"/>
      <c r="N498" s="1969"/>
      <c r="O498" s="1969"/>
      <c r="P498" s="4758"/>
      <c r="Q498" s="4758"/>
      <c r="R498" s="1994"/>
      <c r="S498" s="3982"/>
      <c r="T498" s="3983" t="s">
        <v>624</v>
      </c>
      <c r="U498" s="3984"/>
      <c r="V498" s="3985"/>
      <c r="W498" s="3986"/>
      <c r="X498" s="3987"/>
      <c r="Y498" s="3988"/>
      <c r="Z498" s="3989"/>
      <c r="AA498" s="3990"/>
      <c r="AB498" s="3991"/>
      <c r="AC498" s="3992"/>
      <c r="AD498" s="3993"/>
      <c r="AE498" s="3994"/>
      <c r="AF498" s="3995"/>
      <c r="AG498" s="3996"/>
      <c r="AH498" s="3997"/>
      <c r="AI498" s="3998"/>
      <c r="AJ498" s="3999"/>
      <c r="AK498" s="2013" t="s">
        <v>625</v>
      </c>
      <c r="AL498" s="1978"/>
      <c r="AM498" s="1979"/>
      <c r="AN498" s="1979" t="str">
        <f t="shared" si="8"/>
        <v>Добавить значение признака дифференциации</v>
      </c>
      <c r="AO498" s="1979"/>
      <c r="AP498" s="1979"/>
    </row>
    <row r="499" spans="1:42" s="4000" customFormat="1" ht="23.25" customHeight="1">
      <c r="A499" s="1967"/>
      <c r="B499" s="1967"/>
      <c r="C499" s="1967"/>
      <c r="D499" s="1967"/>
      <c r="E499" s="4760"/>
      <c r="F499" s="4760"/>
      <c r="G499" s="4760"/>
      <c r="H499" s="4760"/>
      <c r="I499" s="4780"/>
      <c r="J499" s="4757" t="str">
        <f>I486&amp;".3"</f>
        <v>18.1.1.1.3</v>
      </c>
      <c r="K499" s="1967"/>
      <c r="L499" s="1968" t="s">
        <v>547</v>
      </c>
      <c r="M499" s="1969"/>
      <c r="N499" s="1969"/>
      <c r="O499" s="1969"/>
      <c r="P499" s="4758"/>
      <c r="Q499" s="4833" t="s">
        <v>102</v>
      </c>
      <c r="R499" s="1981"/>
      <c r="S499" s="1972" t="str">
        <f>$J499</f>
        <v>18.1.1.1.3</v>
      </c>
      <c r="T499" s="1987" t="s">
        <v>548</v>
      </c>
      <c r="U499" s="1974"/>
      <c r="V499" s="4748"/>
      <c r="W499" s="4749"/>
      <c r="X499" s="4749"/>
      <c r="Y499" s="4749"/>
      <c r="Z499" s="4749"/>
      <c r="AA499" s="4749"/>
      <c r="AB499" s="4750"/>
      <c r="AC499" s="4748" t="s">
        <v>661</v>
      </c>
      <c r="AD499" s="4749"/>
      <c r="AE499" s="4749"/>
      <c r="AF499" s="4749"/>
      <c r="AG499" s="4749"/>
      <c r="AH499" s="4749"/>
      <c r="AI499" s="4749"/>
      <c r="AJ499" s="4750"/>
      <c r="AK499" s="1988" t="s">
        <v>623</v>
      </c>
      <c r="AL499" s="1978"/>
      <c r="AM499" s="1979"/>
      <c r="AN499" s="1979" t="str">
        <f t="shared" si="8"/>
        <v>Группа потребителей</v>
      </c>
      <c r="AO499" s="1979"/>
      <c r="AP499" s="1979"/>
    </row>
    <row r="500" spans="1:42" s="4001" customFormat="1" ht="23.25" customHeight="1">
      <c r="A500" s="1967"/>
      <c r="B500" s="1967"/>
      <c r="C500" s="1967"/>
      <c r="D500" s="1967"/>
      <c r="E500" s="4760"/>
      <c r="F500" s="4760"/>
      <c r="G500" s="4760"/>
      <c r="H500" s="4760"/>
      <c r="I500" s="4780"/>
      <c r="J500" s="4780" t="str">
        <f>I486&amp;".2"</f>
        <v>18.1.1.1.2</v>
      </c>
      <c r="K500" s="4757" t="str">
        <f>J499&amp;".1"</f>
        <v>18.1.1.1.3.1</v>
      </c>
      <c r="L500" s="1968"/>
      <c r="M500" s="1969"/>
      <c r="N500" s="1969"/>
      <c r="O500" s="1969"/>
      <c r="P500" s="4758"/>
      <c r="Q500" s="4758"/>
      <c r="R500" s="1981">
        <v>1</v>
      </c>
      <c r="S500" s="1972" t="str">
        <f>$K500</f>
        <v>18.1.1.1.3.1</v>
      </c>
      <c r="T500" s="1973" t="s">
        <v>660</v>
      </c>
      <c r="U500" s="1974"/>
      <c r="V500" s="1975"/>
      <c r="W500" s="1975"/>
      <c r="X500" s="1976"/>
      <c r="Y500" s="4762"/>
      <c r="Z500" s="4608" t="s">
        <v>65</v>
      </c>
      <c r="AA500" s="4762"/>
      <c r="AB500" s="4608" t="s">
        <v>65</v>
      </c>
      <c r="AC500" s="1975">
        <v>15.16</v>
      </c>
      <c r="AD500" s="1975"/>
      <c r="AE500" s="1976"/>
      <c r="AF500" s="4762">
        <v>45292</v>
      </c>
      <c r="AG500" s="4608" t="s">
        <v>65</v>
      </c>
      <c r="AH500" s="4781">
        <v>45473</v>
      </c>
      <c r="AI500" s="4608" t="s">
        <v>65</v>
      </c>
      <c r="AJ500" s="1977"/>
      <c r="AK500"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0" s="1978" t="e">
        <f ca="1">STRCHECKDATE(V501:AJ501)</f>
        <v>#NAME?</v>
      </c>
      <c r="AM500" s="1979"/>
      <c r="AN500" s="1979" t="str">
        <f t="shared" si="8"/>
        <v>Потребители, кроме населения (без учета НДС)</v>
      </c>
      <c r="AO500" s="1979"/>
      <c r="AP500" s="1979"/>
    </row>
    <row r="501" spans="1:42" s="4002" customFormat="1" ht="14.25" customHeight="1">
      <c r="A501" s="1967"/>
      <c r="B501" s="1967"/>
      <c r="C501" s="1967"/>
      <c r="D501" s="1967"/>
      <c r="E501" s="4760"/>
      <c r="F501" s="4760"/>
      <c r="G501" s="4760"/>
      <c r="H501" s="4760"/>
      <c r="I501" s="4780"/>
      <c r="J501" s="4780" t="str">
        <f>I486&amp;".2"</f>
        <v>18.1.1.1.2</v>
      </c>
      <c r="K501" s="4757"/>
      <c r="L501" s="1968"/>
      <c r="M501" s="1969"/>
      <c r="N501" s="1969"/>
      <c r="O501" s="1969"/>
      <c r="P501" s="4758"/>
      <c r="Q501" s="4758"/>
      <c r="R501" s="1981"/>
      <c r="S501" s="1982"/>
      <c r="T501" s="1974"/>
      <c r="U501" s="1974"/>
      <c r="V501" s="1983"/>
      <c r="W501" s="1983"/>
      <c r="X501" s="1984" t="str">
        <f>Y500&amp;"-"&amp;AA500</f>
        <v>-</v>
      </c>
      <c r="Y501" s="4763"/>
      <c r="Z501" s="4608"/>
      <c r="AA501" s="4763"/>
      <c r="AB501" s="4608"/>
      <c r="AC501" s="1983"/>
      <c r="AD501" s="1983"/>
      <c r="AE501" s="1984" t="str">
        <f>AF500&amp;"-"&amp;AH500</f>
        <v>45292-45473</v>
      </c>
      <c r="AF501" s="4763"/>
      <c r="AG501" s="4608"/>
      <c r="AH501" s="4782"/>
      <c r="AI501" s="4608"/>
      <c r="AJ501" s="1985"/>
      <c r="AK501" s="4817"/>
      <c r="AL501" s="1978"/>
      <c r="AM501" s="1979"/>
      <c r="AN501" s="1979" t="str">
        <f t="shared" si="8"/>
        <v/>
      </c>
      <c r="AO501" s="1979"/>
      <c r="AP501" s="1979"/>
    </row>
    <row r="502" spans="1:42" s="4003" customFormat="1" ht="23.25" customHeight="1">
      <c r="A502" s="1967"/>
      <c r="B502" s="1967"/>
      <c r="C502" s="1967"/>
      <c r="D502" s="1967"/>
      <c r="E502" s="4760"/>
      <c r="F502" s="4760"/>
      <c r="G502" s="4760"/>
      <c r="H502" s="4760"/>
      <c r="I502" s="4780"/>
      <c r="J502" s="4780"/>
      <c r="K502" s="4757" t="str">
        <f>J499&amp;".2"</f>
        <v>18.1.1.1.3.2</v>
      </c>
      <c r="L502" s="1968"/>
      <c r="M502" s="1969"/>
      <c r="N502" s="1969"/>
      <c r="O502" s="1969"/>
      <c r="P502" s="4758"/>
      <c r="Q502" s="4758"/>
      <c r="R502" s="1971" t="s">
        <v>102</v>
      </c>
      <c r="S502" s="1972" t="str">
        <f>$K502</f>
        <v>18.1.1.1.3.2</v>
      </c>
      <c r="T502" s="1973" t="s">
        <v>660</v>
      </c>
      <c r="U502" s="1974"/>
      <c r="V502" s="1975"/>
      <c r="W502" s="1975"/>
      <c r="X502" s="1976"/>
      <c r="Y502" s="4762"/>
      <c r="Z502" s="4608" t="s">
        <v>65</v>
      </c>
      <c r="AA502" s="4762"/>
      <c r="AB502" s="4608" t="s">
        <v>65</v>
      </c>
      <c r="AC502" s="1975">
        <v>54.64</v>
      </c>
      <c r="AD502" s="1975"/>
      <c r="AE502" s="1976"/>
      <c r="AF502" s="4762">
        <v>45474</v>
      </c>
      <c r="AG502" s="4608" t="s">
        <v>65</v>
      </c>
      <c r="AH502" s="4781">
        <v>45657</v>
      </c>
      <c r="AI502" s="4608" t="s">
        <v>65</v>
      </c>
      <c r="AJ502" s="1977"/>
      <c r="AK502"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2" s="1978" t="e">
        <f ca="1">STRCHECKDATE(V503:AJ503)</f>
        <v>#NAME?</v>
      </c>
      <c r="AM502" s="1979"/>
      <c r="AN502" s="1979" t="str">
        <f t="shared" si="8"/>
        <v>Потребители, кроме населения (без учета НДС)</v>
      </c>
      <c r="AO502" s="1979"/>
      <c r="AP502" s="1979"/>
    </row>
    <row r="503" spans="1:42" s="4004" customFormat="1" ht="14.25" customHeight="1">
      <c r="A503" s="1967"/>
      <c r="B503" s="1967"/>
      <c r="C503" s="1967"/>
      <c r="D503" s="1967"/>
      <c r="E503" s="4760"/>
      <c r="F503" s="4760"/>
      <c r="G503" s="4760"/>
      <c r="H503" s="4760"/>
      <c r="I503" s="4780"/>
      <c r="J503" s="4780"/>
      <c r="K503" s="4757" t="str">
        <f>J499&amp;".1"</f>
        <v>18.1.1.1.3.1</v>
      </c>
      <c r="L503" s="1968"/>
      <c r="M503" s="1969"/>
      <c r="N503" s="1969"/>
      <c r="O503" s="1969"/>
      <c r="P503" s="4758"/>
      <c r="Q503" s="4758"/>
      <c r="R503" s="1981"/>
      <c r="S503" s="1982"/>
      <c r="T503" s="1974"/>
      <c r="U503" s="1974"/>
      <c r="V503" s="1983"/>
      <c r="W503" s="1983"/>
      <c r="X503" s="1984" t="str">
        <f>Y502&amp;"-"&amp;AA502</f>
        <v>-</v>
      </c>
      <c r="Y503" s="4763"/>
      <c r="Z503" s="4608"/>
      <c r="AA503" s="4763"/>
      <c r="AB503" s="4608"/>
      <c r="AC503" s="1983"/>
      <c r="AD503" s="1983"/>
      <c r="AE503" s="1984" t="str">
        <f>AF502&amp;"-"&amp;AH502</f>
        <v>45474-45657</v>
      </c>
      <c r="AF503" s="4763"/>
      <c r="AG503" s="4608"/>
      <c r="AH503" s="4782"/>
      <c r="AI503" s="4608"/>
      <c r="AJ503" s="1985"/>
      <c r="AK503" s="4817"/>
      <c r="AL503" s="1978"/>
      <c r="AM503" s="1979"/>
      <c r="AN503" s="1979" t="str">
        <f t="shared" si="8"/>
        <v/>
      </c>
      <c r="AO503" s="1979"/>
      <c r="AP503" s="1979"/>
    </row>
    <row r="504" spans="1:42" s="4005" customFormat="1" ht="21" customHeight="1">
      <c r="A504" s="1967"/>
      <c r="B504" s="1967"/>
      <c r="C504" s="1967"/>
      <c r="D504" s="1967"/>
      <c r="E504" s="4760"/>
      <c r="F504" s="4760"/>
      <c r="G504" s="4760"/>
      <c r="H504" s="4760"/>
      <c r="I504" s="4780"/>
      <c r="J504" s="4757" t="str">
        <f>I486&amp;".2"</f>
        <v>18.1.1.1.2</v>
      </c>
      <c r="K504" s="1967"/>
      <c r="L504" s="1968"/>
      <c r="M504" s="1969"/>
      <c r="N504" s="1969"/>
      <c r="O504" s="1969"/>
      <c r="P504" s="4758"/>
      <c r="Q504" s="4758"/>
      <c r="R504" s="1994"/>
      <c r="S504" s="4006"/>
      <c r="T504" s="4007" t="s">
        <v>624</v>
      </c>
      <c r="U504" s="4008"/>
      <c r="V504" s="4009"/>
      <c r="W504" s="4010"/>
      <c r="X504" s="4011"/>
      <c r="Y504" s="4012"/>
      <c r="Z504" s="4013"/>
      <c r="AA504" s="4014"/>
      <c r="AB504" s="4015"/>
      <c r="AC504" s="4016"/>
      <c r="AD504" s="4017"/>
      <c r="AE504" s="4018"/>
      <c r="AF504" s="4019"/>
      <c r="AG504" s="4020"/>
      <c r="AH504" s="4021"/>
      <c r="AI504" s="4022"/>
      <c r="AJ504" s="4023"/>
      <c r="AK504" s="2013" t="s">
        <v>625</v>
      </c>
      <c r="AL504" s="1978"/>
      <c r="AM504" s="1979"/>
      <c r="AN504" s="1979" t="str">
        <f t="shared" si="8"/>
        <v>Добавить значение признака дифференциации</v>
      </c>
      <c r="AO504" s="1979"/>
      <c r="AP504" s="1979"/>
    </row>
    <row r="505" spans="1:42" s="4024" customFormat="1" ht="21" customHeight="1">
      <c r="A505" s="1967"/>
      <c r="B505" s="1967"/>
      <c r="C505" s="1967"/>
      <c r="D505" s="1967"/>
      <c r="E505" s="4760" t="s">
        <v>395</v>
      </c>
      <c r="F505" s="4760"/>
      <c r="G505" s="4760"/>
      <c r="H505" s="4760"/>
      <c r="I505" s="4757"/>
      <c r="J505" s="1967"/>
      <c r="K505" s="1967"/>
      <c r="L505" s="1968"/>
      <c r="M505" s="1969"/>
      <c r="N505" s="1969"/>
      <c r="O505" s="1969"/>
      <c r="P505" s="4758"/>
      <c r="Q505" s="1970"/>
      <c r="R505" s="1994"/>
      <c r="S505" s="4025"/>
      <c r="T505" s="4026" t="s">
        <v>553</v>
      </c>
      <c r="U505" s="4027"/>
      <c r="V505" s="4028"/>
      <c r="W505" s="4029"/>
      <c r="X505" s="4030"/>
      <c r="Y505" s="4031"/>
      <c r="Z505" s="4032"/>
      <c r="AA505" s="4033"/>
      <c r="AB505" s="4034"/>
      <c r="AC505" s="4035"/>
      <c r="AD505" s="4036"/>
      <c r="AE505" s="4037"/>
      <c r="AF505" s="4038"/>
      <c r="AG505" s="4039"/>
      <c r="AH505" s="4040"/>
      <c r="AI505" s="4041"/>
      <c r="AJ505" s="4042"/>
      <c r="AK505" s="4043"/>
      <c r="AL505" s="1978"/>
      <c r="AM505" s="1979"/>
      <c r="AN505" s="1979" t="str">
        <f t="shared" si="8"/>
        <v>Добавить группу потребителей</v>
      </c>
      <c r="AO505" s="1979"/>
      <c r="AP505" s="1979"/>
    </row>
    <row r="506" spans="1:42" s="4044" customFormat="1" ht="21" customHeight="1">
      <c r="A506" s="1967"/>
      <c r="B506" s="1967"/>
      <c r="C506" s="1967"/>
      <c r="D506" s="1967"/>
      <c r="E506" s="4760" t="s">
        <v>395</v>
      </c>
      <c r="F506" s="4760"/>
      <c r="G506" s="4760"/>
      <c r="H506" s="4759"/>
      <c r="I506" s="1967"/>
      <c r="J506" s="1967"/>
      <c r="K506" s="1967"/>
      <c r="L506" s="1968"/>
      <c r="M506" s="2039"/>
      <c r="N506" s="2039"/>
      <c r="O506" s="2147"/>
      <c r="P506" s="2041"/>
      <c r="Q506" s="2148"/>
      <c r="R506" s="2042"/>
      <c r="S506" s="4045"/>
      <c r="T506" s="4046" t="s">
        <v>626</v>
      </c>
      <c r="U506" s="4047"/>
      <c r="V506" s="4048"/>
      <c r="W506" s="4049"/>
      <c r="X506" s="4050"/>
      <c r="Y506" s="4051"/>
      <c r="Z506" s="4052"/>
      <c r="AA506" s="4053"/>
      <c r="AB506" s="4054"/>
      <c r="AC506" s="4055"/>
      <c r="AD506" s="4056"/>
      <c r="AE506" s="4057"/>
      <c r="AF506" s="4058"/>
      <c r="AG506" s="4059"/>
      <c r="AH506" s="4060"/>
      <c r="AI506" s="4061"/>
      <c r="AJ506" s="4062"/>
      <c r="AK506" s="4063"/>
      <c r="AL506" s="1978"/>
      <c r="AM506" s="1979"/>
      <c r="AN506" s="1979" t="str">
        <f t="shared" si="8"/>
        <v>Добавить наименование признака дифференциации</v>
      </c>
      <c r="AO506" s="1979"/>
      <c r="AP506" s="1979"/>
    </row>
    <row r="507" spans="1:42" s="4064" customFormat="1" ht="14.25" customHeight="1">
      <c r="A507" s="2169"/>
      <c r="B507" s="2169"/>
      <c r="C507" s="2169"/>
      <c r="D507" s="2169"/>
      <c r="E507" s="4760" t="s">
        <v>395</v>
      </c>
      <c r="F507" s="4759"/>
      <c r="G507" s="2169"/>
      <c r="H507" s="2169"/>
      <c r="I507" s="2169"/>
      <c r="J507" s="2169"/>
      <c r="K507" s="2169"/>
      <c r="L507" s="2170"/>
      <c r="M507" s="2171"/>
      <c r="N507" s="2171"/>
      <c r="O507" s="1978"/>
      <c r="P507" s="2172"/>
      <c r="Q507" s="2173"/>
      <c r="R507" s="2172"/>
      <c r="S507" s="2174"/>
      <c r="T507" s="2175" t="s">
        <v>316</v>
      </c>
      <c r="U507" s="2176"/>
      <c r="V507" s="2176"/>
      <c r="W507" s="2176"/>
      <c r="X507" s="2176"/>
      <c r="Y507" s="2176"/>
      <c r="Z507" s="2176"/>
      <c r="AA507" s="2176"/>
      <c r="AB507" s="2176"/>
      <c r="AC507" s="2176"/>
      <c r="AD507" s="2176"/>
      <c r="AE507" s="2176"/>
      <c r="AF507" s="2176"/>
      <c r="AG507" s="2176"/>
      <c r="AH507" s="2176"/>
      <c r="AI507" s="2176"/>
      <c r="AJ507" s="2176"/>
      <c r="AK507" s="2176"/>
      <c r="AL507" s="1978"/>
      <c r="AM507" s="1979"/>
      <c r="AN507" s="1979" t="str">
        <f t="shared" si="8"/>
        <v>Добавить централизованную систему для дифференциации</v>
      </c>
      <c r="AO507" s="1979"/>
      <c r="AP507" s="1979"/>
    </row>
    <row r="508" spans="1:42" s="4065" customFormat="1" ht="14.25" customHeight="1">
      <c r="A508" s="2169"/>
      <c r="B508" s="2169"/>
      <c r="C508" s="2169"/>
      <c r="D508" s="2169"/>
      <c r="E508" s="4759" t="s">
        <v>395</v>
      </c>
      <c r="F508" s="2169"/>
      <c r="G508" s="2169"/>
      <c r="H508" s="2169"/>
      <c r="I508" s="2169"/>
      <c r="J508" s="2169"/>
      <c r="K508" s="2169"/>
      <c r="L508" s="2170"/>
      <c r="M508" s="2171"/>
      <c r="N508" s="2171"/>
      <c r="O508" s="1978"/>
      <c r="P508" s="2172"/>
      <c r="Q508" s="2173"/>
      <c r="R508" s="2172"/>
      <c r="S508" s="2174"/>
      <c r="T508" s="2175" t="s">
        <v>317</v>
      </c>
      <c r="U508" s="2176"/>
      <c r="V508" s="2176"/>
      <c r="W508" s="2176"/>
      <c r="X508" s="2176"/>
      <c r="Y508" s="2176"/>
      <c r="Z508" s="2176"/>
      <c r="AA508" s="2176"/>
      <c r="AB508" s="2176"/>
      <c r="AC508" s="2176"/>
      <c r="AD508" s="2176"/>
      <c r="AE508" s="2176"/>
      <c r="AF508" s="2176"/>
      <c r="AG508" s="2176"/>
      <c r="AH508" s="2176"/>
      <c r="AI508" s="2176"/>
      <c r="AJ508" s="2176"/>
      <c r="AK508" s="2176"/>
      <c r="AL508" s="1978"/>
      <c r="AM508" s="1979"/>
      <c r="AN508" s="1979" t="str">
        <f t="shared" si="8"/>
        <v>Добавить территорию для дифференциации</v>
      </c>
      <c r="AO508" s="1979"/>
      <c r="AP508" s="1979"/>
    </row>
    <row r="509" spans="1:42" s="1946" customFormat="1" ht="0" hidden="1" customHeight="1">
      <c r="A509" s="1233"/>
      <c r="B509" s="1233"/>
      <c r="C509" s="1233"/>
      <c r="D509" s="1233"/>
      <c r="E509" s="1261"/>
      <c r="F509" s="1233"/>
      <c r="G509" s="1233"/>
      <c r="H509" s="1233"/>
      <c r="I509" s="1233"/>
      <c r="J509" s="1233"/>
      <c r="K509" s="1233"/>
      <c r="L509" s="1405"/>
      <c r="M509" s="1240"/>
      <c r="N509" s="1240"/>
      <c r="P509" s="1235"/>
      <c r="Q509" s="1236"/>
      <c r="R509" s="1235"/>
      <c r="S509" s="1241"/>
      <c r="T509" s="1244" t="s">
        <v>407</v>
      </c>
      <c r="U509" s="1243"/>
      <c r="V509" s="1243"/>
      <c r="W509" s="1243"/>
      <c r="X509" s="1243"/>
      <c r="Y509" s="1243"/>
      <c r="Z509" s="1243"/>
      <c r="AA509" s="1243"/>
      <c r="AB509" s="1243"/>
      <c r="AC509" s="1243"/>
      <c r="AD509" s="1243"/>
      <c r="AE509" s="1243"/>
      <c r="AF509" s="1243"/>
      <c r="AG509" s="1243"/>
      <c r="AH509" s="1243"/>
      <c r="AI509" s="1243"/>
      <c r="AJ509" s="1243"/>
      <c r="AK509" s="1243"/>
      <c r="AM509" s="707"/>
      <c r="AN509" s="707" t="str">
        <f t="shared" si="8"/>
        <v>Добавить наименование тарифа</v>
      </c>
      <c r="AO509" s="707"/>
      <c r="AP509" s="707"/>
    </row>
    <row r="510" spans="1:42" ht="11.25" customHeight="1">
      <c r="M510" s="1061"/>
      <c r="N510" s="1061"/>
      <c r="O510" s="463"/>
      <c r="P510" s="1056"/>
      <c r="Q510" s="1056"/>
      <c r="R510" s="1056"/>
      <c r="S510" s="1056"/>
      <c r="AL510" s="1056"/>
      <c r="AM510" s="1056"/>
      <c r="AN510" s="1056"/>
      <c r="AO510" s="1056"/>
      <c r="AP510" s="1056"/>
    </row>
    <row r="511" spans="1:42" ht="14.25" customHeight="1">
      <c r="O511" s="463"/>
      <c r="S511" s="1165"/>
      <c r="T511" s="4779"/>
      <c r="U511" s="4779"/>
      <c r="V511" s="4779"/>
      <c r="W511" s="4779"/>
      <c r="X511" s="4779"/>
      <c r="Y511" s="4779"/>
      <c r="Z511" s="4779"/>
      <c r="AA511" s="4779"/>
      <c r="AB511" s="4779"/>
      <c r="AC511" s="4779"/>
      <c r="AD511" s="4779"/>
      <c r="AE511" s="4779"/>
      <c r="AF511" s="4779"/>
      <c r="AG511" s="4779"/>
      <c r="AH511" s="4779"/>
      <c r="AI511" s="4779"/>
      <c r="AJ511" s="4779"/>
      <c r="AK511" s="4779"/>
    </row>
    <row r="512" spans="1:42" ht="14.25" customHeight="1">
      <c r="O512" s="463"/>
    </row>
    <row r="513" spans="15:37" ht="14.25" customHeight="1">
      <c r="O513" s="463"/>
      <c r="S513" s="1165"/>
      <c r="T513" s="4779"/>
      <c r="U513" s="4779"/>
      <c r="V513" s="4779"/>
      <c r="W513" s="4779"/>
      <c r="X513" s="4779"/>
      <c r="Y513" s="4779"/>
      <c r="Z513" s="4779"/>
      <c r="AA513" s="4779"/>
      <c r="AB513" s="4779"/>
      <c r="AC513" s="4779"/>
      <c r="AD513" s="4779"/>
      <c r="AE513" s="4779"/>
      <c r="AF513" s="4779"/>
      <c r="AG513" s="4779"/>
      <c r="AH513" s="4779"/>
      <c r="AI513" s="4779"/>
      <c r="AJ513" s="4779"/>
      <c r="AK513" s="4779"/>
    </row>
  </sheetData>
  <sheetProtection formatColumns="0" formatRows="0" insertRows="0" deleteColumns="0" deleteRows="0" sort="0" autoFilter="0"/>
  <mergeCells count="1621">
    <mergeCell ref="AG496:AG497"/>
    <mergeCell ref="AH496:AH497"/>
    <mergeCell ref="J499:J504"/>
    <mergeCell ref="Q499:Q504"/>
    <mergeCell ref="V499:AB499"/>
    <mergeCell ref="AC499:AJ499"/>
    <mergeCell ref="K500:K501"/>
    <mergeCell ref="Y500:Y501"/>
    <mergeCell ref="AI500:AI501"/>
    <mergeCell ref="AK500:AK501"/>
    <mergeCell ref="Z500:Z501"/>
    <mergeCell ref="AA500:AA501"/>
    <mergeCell ref="AB500:AB501"/>
    <mergeCell ref="AF500:AF501"/>
    <mergeCell ref="AG500:AG501"/>
    <mergeCell ref="AH500:AH501"/>
    <mergeCell ref="K502:K503"/>
    <mergeCell ref="Y502:Y503"/>
    <mergeCell ref="AI502:AI503"/>
    <mergeCell ref="AK502:AK503"/>
    <mergeCell ref="Z502:Z503"/>
    <mergeCell ref="AA502:AA503"/>
    <mergeCell ref="AB502:AB503"/>
    <mergeCell ref="AF502:AF503"/>
    <mergeCell ref="AG502:AG503"/>
    <mergeCell ref="AH502:AH503"/>
    <mergeCell ref="K490:K491"/>
    <mergeCell ref="Y490:Y491"/>
    <mergeCell ref="AI490:AI491"/>
    <mergeCell ref="AK490:AK491"/>
    <mergeCell ref="Z490:Z491"/>
    <mergeCell ref="AA490:AA491"/>
    <mergeCell ref="AB490:AB491"/>
    <mergeCell ref="AF490:AF491"/>
    <mergeCell ref="AG490:AG491"/>
    <mergeCell ref="AH490:AH491"/>
    <mergeCell ref="J493:J498"/>
    <mergeCell ref="Q493:Q498"/>
    <mergeCell ref="V493:AB493"/>
    <mergeCell ref="AC493:AJ493"/>
    <mergeCell ref="K494:K495"/>
    <mergeCell ref="Y494:Y495"/>
    <mergeCell ref="AI494:AI495"/>
    <mergeCell ref="AK494:AK495"/>
    <mergeCell ref="Z494:Z495"/>
    <mergeCell ref="AA494:AA495"/>
    <mergeCell ref="AB494:AB495"/>
    <mergeCell ref="AF494:AF495"/>
    <mergeCell ref="AG494:AG495"/>
    <mergeCell ref="AH494:AH495"/>
    <mergeCell ref="K496:K497"/>
    <mergeCell ref="Y496:Y497"/>
    <mergeCell ref="AI496:AI497"/>
    <mergeCell ref="AK496:AK497"/>
    <mergeCell ref="Z496:Z497"/>
    <mergeCell ref="AA496:AA497"/>
    <mergeCell ref="AB496:AB497"/>
    <mergeCell ref="AF496:AF497"/>
    <mergeCell ref="AG470:AG471"/>
    <mergeCell ref="AH470:AH471"/>
    <mergeCell ref="J473:J478"/>
    <mergeCell ref="Q473:Q478"/>
    <mergeCell ref="V473:AB473"/>
    <mergeCell ref="AC473:AJ473"/>
    <mergeCell ref="K474:K475"/>
    <mergeCell ref="Y474:Y475"/>
    <mergeCell ref="AI474:AI475"/>
    <mergeCell ref="AK474:AK475"/>
    <mergeCell ref="Z474:Z475"/>
    <mergeCell ref="AA474:AA475"/>
    <mergeCell ref="AB474:AB475"/>
    <mergeCell ref="AF474:AF475"/>
    <mergeCell ref="AG474:AG475"/>
    <mergeCell ref="AH474:AH475"/>
    <mergeCell ref="K476:K477"/>
    <mergeCell ref="Y476:Y477"/>
    <mergeCell ref="AI476:AI477"/>
    <mergeCell ref="AK476:AK477"/>
    <mergeCell ref="Z476:Z477"/>
    <mergeCell ref="AA476:AA477"/>
    <mergeCell ref="AB476:AB477"/>
    <mergeCell ref="AF476:AF477"/>
    <mergeCell ref="AG476:AG477"/>
    <mergeCell ref="AH476:AH477"/>
    <mergeCell ref="K464:K465"/>
    <mergeCell ref="Y464:Y465"/>
    <mergeCell ref="AI464:AI465"/>
    <mergeCell ref="AK464:AK465"/>
    <mergeCell ref="Z464:Z465"/>
    <mergeCell ref="AA464:AA465"/>
    <mergeCell ref="AB464:AB465"/>
    <mergeCell ref="AF464:AF465"/>
    <mergeCell ref="AG464:AG465"/>
    <mergeCell ref="AH464:AH465"/>
    <mergeCell ref="J467:J472"/>
    <mergeCell ref="Q467:Q472"/>
    <mergeCell ref="V467:AB467"/>
    <mergeCell ref="AC467:AJ467"/>
    <mergeCell ref="K468:K469"/>
    <mergeCell ref="Y468:Y469"/>
    <mergeCell ref="AI468:AI469"/>
    <mergeCell ref="AK468:AK469"/>
    <mergeCell ref="Z468:Z469"/>
    <mergeCell ref="AA468:AA469"/>
    <mergeCell ref="AB468:AB469"/>
    <mergeCell ref="AF468:AF469"/>
    <mergeCell ref="AG468:AG469"/>
    <mergeCell ref="AH468:AH469"/>
    <mergeCell ref="K470:K471"/>
    <mergeCell ref="Y470:Y471"/>
    <mergeCell ref="AI470:AI471"/>
    <mergeCell ref="AK470:AK471"/>
    <mergeCell ref="Z470:Z471"/>
    <mergeCell ref="AA470:AA471"/>
    <mergeCell ref="AB470:AB471"/>
    <mergeCell ref="AF470:AF471"/>
    <mergeCell ref="Y448:Y449"/>
    <mergeCell ref="AI448:AI449"/>
    <mergeCell ref="AK448:AK449"/>
    <mergeCell ref="Z448:Z449"/>
    <mergeCell ref="AA448:AA449"/>
    <mergeCell ref="AB448:AB449"/>
    <mergeCell ref="AF448:AF449"/>
    <mergeCell ref="AG448:AG449"/>
    <mergeCell ref="AH448:AH449"/>
    <mergeCell ref="K450:K451"/>
    <mergeCell ref="Y450:Y451"/>
    <mergeCell ref="AI450:AI451"/>
    <mergeCell ref="AK450:AK451"/>
    <mergeCell ref="Z450:Z451"/>
    <mergeCell ref="AA450:AA451"/>
    <mergeCell ref="AB450:AB451"/>
    <mergeCell ref="AF450:AF451"/>
    <mergeCell ref="AG450:AG451"/>
    <mergeCell ref="AH450:AH451"/>
    <mergeCell ref="AK438:AK439"/>
    <mergeCell ref="Z438:Z439"/>
    <mergeCell ref="AA438:AA439"/>
    <mergeCell ref="AB438:AB439"/>
    <mergeCell ref="AF438:AF439"/>
    <mergeCell ref="AG438:AG439"/>
    <mergeCell ref="AH438:AH439"/>
    <mergeCell ref="J441:J446"/>
    <mergeCell ref="Q441:Q446"/>
    <mergeCell ref="V441:AB441"/>
    <mergeCell ref="AC441:AJ441"/>
    <mergeCell ref="K442:K443"/>
    <mergeCell ref="Y442:Y443"/>
    <mergeCell ref="AI442:AI443"/>
    <mergeCell ref="AK442:AK443"/>
    <mergeCell ref="Z442:Z443"/>
    <mergeCell ref="AA442:AA443"/>
    <mergeCell ref="AB442:AB443"/>
    <mergeCell ref="AF442:AF443"/>
    <mergeCell ref="AG442:AG443"/>
    <mergeCell ref="AH442:AH443"/>
    <mergeCell ref="K444:K445"/>
    <mergeCell ref="Y444:Y445"/>
    <mergeCell ref="AI444:AI445"/>
    <mergeCell ref="AK444:AK445"/>
    <mergeCell ref="Z444:Z445"/>
    <mergeCell ref="AA444:AA445"/>
    <mergeCell ref="AB444:AB445"/>
    <mergeCell ref="AF444:AF445"/>
    <mergeCell ref="AG444:AG445"/>
    <mergeCell ref="AH444:AH445"/>
    <mergeCell ref="AG418:AG419"/>
    <mergeCell ref="AH418:AH419"/>
    <mergeCell ref="J421:J426"/>
    <mergeCell ref="Q421:Q426"/>
    <mergeCell ref="V421:AB421"/>
    <mergeCell ref="AC421:AJ421"/>
    <mergeCell ref="K422:K423"/>
    <mergeCell ref="Y422:Y423"/>
    <mergeCell ref="AI422:AI423"/>
    <mergeCell ref="AK422:AK423"/>
    <mergeCell ref="Z422:Z423"/>
    <mergeCell ref="AA422:AA423"/>
    <mergeCell ref="AB422:AB423"/>
    <mergeCell ref="AF422:AF423"/>
    <mergeCell ref="AG422:AG423"/>
    <mergeCell ref="AH422:AH423"/>
    <mergeCell ref="K424:K425"/>
    <mergeCell ref="Y424:Y425"/>
    <mergeCell ref="AI424:AI425"/>
    <mergeCell ref="AK424:AK425"/>
    <mergeCell ref="Z424:Z425"/>
    <mergeCell ref="AA424:AA425"/>
    <mergeCell ref="AB424:AB425"/>
    <mergeCell ref="AF424:AF425"/>
    <mergeCell ref="AG424:AG425"/>
    <mergeCell ref="AH424:AH425"/>
    <mergeCell ref="K412:K413"/>
    <mergeCell ref="Y412:Y413"/>
    <mergeCell ref="AI412:AI413"/>
    <mergeCell ref="AK412:AK413"/>
    <mergeCell ref="Z412:Z413"/>
    <mergeCell ref="AA412:AA413"/>
    <mergeCell ref="AB412:AB413"/>
    <mergeCell ref="AF412:AF413"/>
    <mergeCell ref="AG412:AG413"/>
    <mergeCell ref="AH412:AH413"/>
    <mergeCell ref="J415:J420"/>
    <mergeCell ref="Q415:Q420"/>
    <mergeCell ref="V415:AB415"/>
    <mergeCell ref="AC415:AJ415"/>
    <mergeCell ref="K416:K417"/>
    <mergeCell ref="Y416:Y417"/>
    <mergeCell ref="AI416:AI417"/>
    <mergeCell ref="AK416:AK417"/>
    <mergeCell ref="Z416:Z417"/>
    <mergeCell ref="AA416:AA417"/>
    <mergeCell ref="AB416:AB417"/>
    <mergeCell ref="AF416:AF417"/>
    <mergeCell ref="AG416:AG417"/>
    <mergeCell ref="AH416:AH417"/>
    <mergeCell ref="K418:K419"/>
    <mergeCell ref="Y418:Y419"/>
    <mergeCell ref="AI418:AI419"/>
    <mergeCell ref="AK418:AK419"/>
    <mergeCell ref="Z418:Z419"/>
    <mergeCell ref="AA418:AA419"/>
    <mergeCell ref="AB418:AB419"/>
    <mergeCell ref="AF418:AF419"/>
    <mergeCell ref="Y396:Y397"/>
    <mergeCell ref="AI396:AI397"/>
    <mergeCell ref="AK396:AK397"/>
    <mergeCell ref="Z396:Z397"/>
    <mergeCell ref="AA396:AA397"/>
    <mergeCell ref="AB396:AB397"/>
    <mergeCell ref="AF396:AF397"/>
    <mergeCell ref="AG396:AG397"/>
    <mergeCell ref="AH396:AH397"/>
    <mergeCell ref="K398:K399"/>
    <mergeCell ref="Y398:Y399"/>
    <mergeCell ref="AI398:AI399"/>
    <mergeCell ref="AK398:AK399"/>
    <mergeCell ref="Z398:Z399"/>
    <mergeCell ref="AA398:AA399"/>
    <mergeCell ref="AB398:AB399"/>
    <mergeCell ref="AF398:AF399"/>
    <mergeCell ref="AG398:AG399"/>
    <mergeCell ref="AH398:AH399"/>
    <mergeCell ref="AK386:AK387"/>
    <mergeCell ref="Z386:Z387"/>
    <mergeCell ref="AA386:AA387"/>
    <mergeCell ref="AB386:AB387"/>
    <mergeCell ref="AF386:AF387"/>
    <mergeCell ref="AG386:AG387"/>
    <mergeCell ref="AH386:AH387"/>
    <mergeCell ref="J389:J394"/>
    <mergeCell ref="Q389:Q394"/>
    <mergeCell ref="V389:AB389"/>
    <mergeCell ref="AC389:AJ389"/>
    <mergeCell ref="K390:K391"/>
    <mergeCell ref="Y390:Y391"/>
    <mergeCell ref="AI390:AI391"/>
    <mergeCell ref="AK390:AK391"/>
    <mergeCell ref="Z390:Z391"/>
    <mergeCell ref="AA390:AA391"/>
    <mergeCell ref="AB390:AB391"/>
    <mergeCell ref="AF390:AF391"/>
    <mergeCell ref="AG390:AG391"/>
    <mergeCell ref="AH390:AH391"/>
    <mergeCell ref="K392:K393"/>
    <mergeCell ref="Y392:Y393"/>
    <mergeCell ref="AI392:AI393"/>
    <mergeCell ref="AK392:AK393"/>
    <mergeCell ref="Z392:Z393"/>
    <mergeCell ref="AA392:AA393"/>
    <mergeCell ref="AB392:AB393"/>
    <mergeCell ref="AF392:AF393"/>
    <mergeCell ref="AG392:AG393"/>
    <mergeCell ref="AH392:AH393"/>
    <mergeCell ref="AG366:AG367"/>
    <mergeCell ref="AH366:AH367"/>
    <mergeCell ref="J369:J374"/>
    <mergeCell ref="Q369:Q374"/>
    <mergeCell ref="V369:AB369"/>
    <mergeCell ref="AC369:AJ369"/>
    <mergeCell ref="K370:K371"/>
    <mergeCell ref="Y370:Y371"/>
    <mergeCell ref="AI370:AI371"/>
    <mergeCell ref="AK370:AK371"/>
    <mergeCell ref="Z370:Z371"/>
    <mergeCell ref="AA370:AA371"/>
    <mergeCell ref="AB370:AB371"/>
    <mergeCell ref="AF370:AF371"/>
    <mergeCell ref="AG370:AG371"/>
    <mergeCell ref="AH370:AH371"/>
    <mergeCell ref="K372:K373"/>
    <mergeCell ref="Y372:Y373"/>
    <mergeCell ref="AI372:AI373"/>
    <mergeCell ref="AK372:AK373"/>
    <mergeCell ref="Z372:Z373"/>
    <mergeCell ref="AA372:AA373"/>
    <mergeCell ref="AB372:AB373"/>
    <mergeCell ref="AF372:AF373"/>
    <mergeCell ref="AG372:AG373"/>
    <mergeCell ref="AH372:AH373"/>
    <mergeCell ref="K360:K361"/>
    <mergeCell ref="Y360:Y361"/>
    <mergeCell ref="AI360:AI361"/>
    <mergeCell ref="AK360:AK361"/>
    <mergeCell ref="Z360:Z361"/>
    <mergeCell ref="AA360:AA361"/>
    <mergeCell ref="AB360:AB361"/>
    <mergeCell ref="AF360:AF361"/>
    <mergeCell ref="AG360:AG361"/>
    <mergeCell ref="AH360:AH361"/>
    <mergeCell ref="J363:J368"/>
    <mergeCell ref="Q363:Q368"/>
    <mergeCell ref="V363:AB363"/>
    <mergeCell ref="AC363:AJ363"/>
    <mergeCell ref="K364:K365"/>
    <mergeCell ref="Y364:Y365"/>
    <mergeCell ref="AI364:AI365"/>
    <mergeCell ref="AK364:AK365"/>
    <mergeCell ref="Z364:Z365"/>
    <mergeCell ref="AA364:AA365"/>
    <mergeCell ref="AB364:AB365"/>
    <mergeCell ref="AF364:AF365"/>
    <mergeCell ref="AG364:AG365"/>
    <mergeCell ref="AH364:AH365"/>
    <mergeCell ref="K366:K367"/>
    <mergeCell ref="Y366:Y367"/>
    <mergeCell ref="AI366:AI367"/>
    <mergeCell ref="AK366:AK367"/>
    <mergeCell ref="Z366:Z367"/>
    <mergeCell ref="AA366:AA367"/>
    <mergeCell ref="AB366:AB367"/>
    <mergeCell ref="AF366:AF367"/>
    <mergeCell ref="Y344:Y345"/>
    <mergeCell ref="AI344:AI345"/>
    <mergeCell ref="AK344:AK345"/>
    <mergeCell ref="Z344:Z345"/>
    <mergeCell ref="AA344:AA345"/>
    <mergeCell ref="AB344:AB345"/>
    <mergeCell ref="AF344:AF345"/>
    <mergeCell ref="AG344:AG345"/>
    <mergeCell ref="AH344:AH345"/>
    <mergeCell ref="K346:K347"/>
    <mergeCell ref="Y346:Y347"/>
    <mergeCell ref="AI346:AI347"/>
    <mergeCell ref="AK346:AK347"/>
    <mergeCell ref="Z346:Z347"/>
    <mergeCell ref="AA346:AA347"/>
    <mergeCell ref="AB346:AB347"/>
    <mergeCell ref="AF346:AF347"/>
    <mergeCell ref="AG346:AG347"/>
    <mergeCell ref="AH346:AH347"/>
    <mergeCell ref="AK334:AK335"/>
    <mergeCell ref="Z334:Z335"/>
    <mergeCell ref="AA334:AA335"/>
    <mergeCell ref="AB334:AB335"/>
    <mergeCell ref="AF334:AF335"/>
    <mergeCell ref="AG334:AG335"/>
    <mergeCell ref="AH334:AH335"/>
    <mergeCell ref="J337:J342"/>
    <mergeCell ref="Q337:Q342"/>
    <mergeCell ref="V337:AB337"/>
    <mergeCell ref="AC337:AJ337"/>
    <mergeCell ref="K338:K339"/>
    <mergeCell ref="Y338:Y339"/>
    <mergeCell ref="AI338:AI339"/>
    <mergeCell ref="AK338:AK339"/>
    <mergeCell ref="Z338:Z339"/>
    <mergeCell ref="AA338:AA339"/>
    <mergeCell ref="AB338:AB339"/>
    <mergeCell ref="AF338:AF339"/>
    <mergeCell ref="AG338:AG339"/>
    <mergeCell ref="AH338:AH339"/>
    <mergeCell ref="K340:K341"/>
    <mergeCell ref="Y340:Y341"/>
    <mergeCell ref="AI340:AI341"/>
    <mergeCell ref="AK340:AK341"/>
    <mergeCell ref="Z340:Z341"/>
    <mergeCell ref="AA340:AA341"/>
    <mergeCell ref="AB340:AB341"/>
    <mergeCell ref="AF340:AF341"/>
    <mergeCell ref="AG340:AG341"/>
    <mergeCell ref="AH340:AH341"/>
    <mergeCell ref="AG314:AG315"/>
    <mergeCell ref="AH314:AH315"/>
    <mergeCell ref="J317:J322"/>
    <mergeCell ref="Q317:Q322"/>
    <mergeCell ref="V317:AB317"/>
    <mergeCell ref="AC317:AJ317"/>
    <mergeCell ref="K318:K319"/>
    <mergeCell ref="Y318:Y319"/>
    <mergeCell ref="AI318:AI319"/>
    <mergeCell ref="AK318:AK319"/>
    <mergeCell ref="Z318:Z319"/>
    <mergeCell ref="AA318:AA319"/>
    <mergeCell ref="AB318:AB319"/>
    <mergeCell ref="AF318:AF319"/>
    <mergeCell ref="AG318:AG319"/>
    <mergeCell ref="AH318:AH319"/>
    <mergeCell ref="K320:K321"/>
    <mergeCell ref="Y320:Y321"/>
    <mergeCell ref="AI320:AI321"/>
    <mergeCell ref="AK320:AK321"/>
    <mergeCell ref="Z320:Z321"/>
    <mergeCell ref="AA320:AA321"/>
    <mergeCell ref="AB320:AB321"/>
    <mergeCell ref="AF320:AF321"/>
    <mergeCell ref="AG320:AG321"/>
    <mergeCell ref="AH320:AH321"/>
    <mergeCell ref="K308:K309"/>
    <mergeCell ref="Y308:Y309"/>
    <mergeCell ref="AI308:AI309"/>
    <mergeCell ref="AK308:AK309"/>
    <mergeCell ref="Z308:Z309"/>
    <mergeCell ref="AA308:AA309"/>
    <mergeCell ref="AB308:AB309"/>
    <mergeCell ref="AF308:AF309"/>
    <mergeCell ref="AG308:AG309"/>
    <mergeCell ref="AH308:AH309"/>
    <mergeCell ref="J311:J316"/>
    <mergeCell ref="Q311:Q316"/>
    <mergeCell ref="V311:AB311"/>
    <mergeCell ref="AC311:AJ311"/>
    <mergeCell ref="K312:K313"/>
    <mergeCell ref="Y312:Y313"/>
    <mergeCell ref="AI312:AI313"/>
    <mergeCell ref="AK312:AK313"/>
    <mergeCell ref="Z312:Z313"/>
    <mergeCell ref="AA312:AA313"/>
    <mergeCell ref="AB312:AB313"/>
    <mergeCell ref="AF312:AF313"/>
    <mergeCell ref="AG312:AG313"/>
    <mergeCell ref="AH312:AH313"/>
    <mergeCell ref="K314:K315"/>
    <mergeCell ref="Y314:Y315"/>
    <mergeCell ref="AI314:AI315"/>
    <mergeCell ref="AK314:AK315"/>
    <mergeCell ref="Z314:Z315"/>
    <mergeCell ref="AA314:AA315"/>
    <mergeCell ref="AB314:AB315"/>
    <mergeCell ref="AF314:AF315"/>
    <mergeCell ref="K292:K293"/>
    <mergeCell ref="Y292:Y293"/>
    <mergeCell ref="AI292:AI293"/>
    <mergeCell ref="AK292:AK293"/>
    <mergeCell ref="Z292:Z293"/>
    <mergeCell ref="AA292:AA293"/>
    <mergeCell ref="AB292:AB293"/>
    <mergeCell ref="AF292:AF293"/>
    <mergeCell ref="AG292:AG293"/>
    <mergeCell ref="AH292:AH293"/>
    <mergeCell ref="K294:K295"/>
    <mergeCell ref="Y294:Y295"/>
    <mergeCell ref="AI294:AI295"/>
    <mergeCell ref="AK294:AK295"/>
    <mergeCell ref="Z294:Z295"/>
    <mergeCell ref="AA294:AA295"/>
    <mergeCell ref="AB294:AB295"/>
    <mergeCell ref="AF294:AF295"/>
    <mergeCell ref="AG294:AG295"/>
    <mergeCell ref="AH294:AH295"/>
    <mergeCell ref="AG268:AG269"/>
    <mergeCell ref="AH268:AH269"/>
    <mergeCell ref="K282:K283"/>
    <mergeCell ref="Y282:Y283"/>
    <mergeCell ref="AI282:AI283"/>
    <mergeCell ref="AK282:AK283"/>
    <mergeCell ref="Z282:Z283"/>
    <mergeCell ref="AA282:AA283"/>
    <mergeCell ref="AB282:AB283"/>
    <mergeCell ref="AF282:AF283"/>
    <mergeCell ref="AG282:AG283"/>
    <mergeCell ref="AH282:AH283"/>
    <mergeCell ref="J285:J290"/>
    <mergeCell ref="Q285:Q290"/>
    <mergeCell ref="V285:AB285"/>
    <mergeCell ref="AC285:AJ285"/>
    <mergeCell ref="K286:K287"/>
    <mergeCell ref="Y286:Y287"/>
    <mergeCell ref="AI286:AI287"/>
    <mergeCell ref="AK286:AK287"/>
    <mergeCell ref="Z286:Z287"/>
    <mergeCell ref="AA286:AA287"/>
    <mergeCell ref="AB286:AB287"/>
    <mergeCell ref="AF286:AF287"/>
    <mergeCell ref="AG286:AG287"/>
    <mergeCell ref="AH286:AH287"/>
    <mergeCell ref="K288:K289"/>
    <mergeCell ref="Y288:Y289"/>
    <mergeCell ref="AI288:AI289"/>
    <mergeCell ref="AK288:AK289"/>
    <mergeCell ref="Z288:Z289"/>
    <mergeCell ref="AA288:AA289"/>
    <mergeCell ref="J265:J270"/>
    <mergeCell ref="Q265:Q270"/>
    <mergeCell ref="V265:AB265"/>
    <mergeCell ref="AC265:AJ265"/>
    <mergeCell ref="K266:K267"/>
    <mergeCell ref="Y266:Y267"/>
    <mergeCell ref="AI266:AI267"/>
    <mergeCell ref="AK266:AK267"/>
    <mergeCell ref="Z266:Z267"/>
    <mergeCell ref="AA266:AA267"/>
    <mergeCell ref="AB266:AB267"/>
    <mergeCell ref="AF266:AF267"/>
    <mergeCell ref="AG266:AG267"/>
    <mergeCell ref="AH266:AH267"/>
    <mergeCell ref="K262:K263"/>
    <mergeCell ref="Y262:Y263"/>
    <mergeCell ref="AI262:AI263"/>
    <mergeCell ref="AK262:AK263"/>
    <mergeCell ref="Z262:Z263"/>
    <mergeCell ref="AA262:AA263"/>
    <mergeCell ref="AB262:AB263"/>
    <mergeCell ref="AF262:AF263"/>
    <mergeCell ref="AG262:AG263"/>
    <mergeCell ref="AH262:AH263"/>
    <mergeCell ref="K268:K269"/>
    <mergeCell ref="Y268:Y269"/>
    <mergeCell ref="AI268:AI269"/>
    <mergeCell ref="AK268:AK269"/>
    <mergeCell ref="Z268:Z269"/>
    <mergeCell ref="AA268:AA269"/>
    <mergeCell ref="AB268:AB269"/>
    <mergeCell ref="AF268:AF269"/>
    <mergeCell ref="K256:K257"/>
    <mergeCell ref="Y256:Y257"/>
    <mergeCell ref="AI256:AI257"/>
    <mergeCell ref="AK256:AK257"/>
    <mergeCell ref="Z256:Z257"/>
    <mergeCell ref="AA256:AA257"/>
    <mergeCell ref="AB256:AB257"/>
    <mergeCell ref="AF256:AF257"/>
    <mergeCell ref="AG256:AG257"/>
    <mergeCell ref="AH256:AH257"/>
    <mergeCell ref="J259:J264"/>
    <mergeCell ref="Q259:Q264"/>
    <mergeCell ref="V259:AB259"/>
    <mergeCell ref="AC259:AJ259"/>
    <mergeCell ref="K260:K261"/>
    <mergeCell ref="Y260:Y261"/>
    <mergeCell ref="AI260:AI261"/>
    <mergeCell ref="AK260:AK261"/>
    <mergeCell ref="Z260:Z261"/>
    <mergeCell ref="AA260:AA261"/>
    <mergeCell ref="AB260:AB261"/>
    <mergeCell ref="AF260:AF261"/>
    <mergeCell ref="AG260:AG261"/>
    <mergeCell ref="AH260:AH261"/>
    <mergeCell ref="Y240:Y241"/>
    <mergeCell ref="AI240:AI241"/>
    <mergeCell ref="AK240:AK241"/>
    <mergeCell ref="Z240:Z241"/>
    <mergeCell ref="AA240:AA241"/>
    <mergeCell ref="AB240:AB241"/>
    <mergeCell ref="AF240:AF241"/>
    <mergeCell ref="AG240:AG241"/>
    <mergeCell ref="AH240:AH241"/>
    <mergeCell ref="K242:K243"/>
    <mergeCell ref="Y242:Y243"/>
    <mergeCell ref="AI242:AI243"/>
    <mergeCell ref="AK242:AK243"/>
    <mergeCell ref="Z242:Z243"/>
    <mergeCell ref="AA242:AA243"/>
    <mergeCell ref="AB242:AB243"/>
    <mergeCell ref="AF242:AF243"/>
    <mergeCell ref="AG242:AG243"/>
    <mergeCell ref="AH242:AH243"/>
    <mergeCell ref="AK230:AK231"/>
    <mergeCell ref="Z230:Z231"/>
    <mergeCell ref="AA230:AA231"/>
    <mergeCell ref="AB230:AB231"/>
    <mergeCell ref="AF230:AF231"/>
    <mergeCell ref="AG230:AG231"/>
    <mergeCell ref="AH230:AH231"/>
    <mergeCell ref="J233:J238"/>
    <mergeCell ref="Q233:Q238"/>
    <mergeCell ref="V233:AB233"/>
    <mergeCell ref="AC233:AJ233"/>
    <mergeCell ref="K234:K235"/>
    <mergeCell ref="Y234:Y235"/>
    <mergeCell ref="AI234:AI235"/>
    <mergeCell ref="AK234:AK235"/>
    <mergeCell ref="Z234:Z235"/>
    <mergeCell ref="AA234:AA235"/>
    <mergeCell ref="AB234:AB235"/>
    <mergeCell ref="AF234:AF235"/>
    <mergeCell ref="AG234:AG235"/>
    <mergeCell ref="AH234:AH235"/>
    <mergeCell ref="K236:K237"/>
    <mergeCell ref="Y236:Y237"/>
    <mergeCell ref="AI236:AI237"/>
    <mergeCell ref="AK236:AK237"/>
    <mergeCell ref="Z236:Z237"/>
    <mergeCell ref="AA236:AA237"/>
    <mergeCell ref="AB236:AB237"/>
    <mergeCell ref="AF236:AF237"/>
    <mergeCell ref="AG236:AG237"/>
    <mergeCell ref="AH236:AH237"/>
    <mergeCell ref="AG210:AG211"/>
    <mergeCell ref="AH210:AH211"/>
    <mergeCell ref="J213:J218"/>
    <mergeCell ref="Q213:Q218"/>
    <mergeCell ref="V213:AB213"/>
    <mergeCell ref="AC213:AJ213"/>
    <mergeCell ref="K214:K215"/>
    <mergeCell ref="Y214:Y215"/>
    <mergeCell ref="AI214:AI215"/>
    <mergeCell ref="AK214:AK215"/>
    <mergeCell ref="Z214:Z215"/>
    <mergeCell ref="AA214:AA215"/>
    <mergeCell ref="AB214:AB215"/>
    <mergeCell ref="AF214:AF215"/>
    <mergeCell ref="AG214:AG215"/>
    <mergeCell ref="AH214:AH215"/>
    <mergeCell ref="K216:K217"/>
    <mergeCell ref="Y216:Y217"/>
    <mergeCell ref="AI216:AI217"/>
    <mergeCell ref="AK216:AK217"/>
    <mergeCell ref="Z216:Z217"/>
    <mergeCell ref="AA216:AA217"/>
    <mergeCell ref="AB216:AB217"/>
    <mergeCell ref="AF216:AF217"/>
    <mergeCell ref="AG216:AG217"/>
    <mergeCell ref="AH216:AH217"/>
    <mergeCell ref="K204:K205"/>
    <mergeCell ref="Y204:Y205"/>
    <mergeCell ref="AI204:AI205"/>
    <mergeCell ref="AK204:AK205"/>
    <mergeCell ref="Z204:Z205"/>
    <mergeCell ref="AA204:AA205"/>
    <mergeCell ref="AB204:AB205"/>
    <mergeCell ref="AF204:AF205"/>
    <mergeCell ref="AG204:AG205"/>
    <mergeCell ref="AH204:AH205"/>
    <mergeCell ref="J207:J212"/>
    <mergeCell ref="Q207:Q212"/>
    <mergeCell ref="V207:AB207"/>
    <mergeCell ref="AC207:AJ207"/>
    <mergeCell ref="K208:K209"/>
    <mergeCell ref="Y208:Y209"/>
    <mergeCell ref="AI208:AI209"/>
    <mergeCell ref="AK208:AK209"/>
    <mergeCell ref="Z208:Z209"/>
    <mergeCell ref="AA208:AA209"/>
    <mergeCell ref="AB208:AB209"/>
    <mergeCell ref="AF208:AF209"/>
    <mergeCell ref="AG208:AG209"/>
    <mergeCell ref="AH208:AH209"/>
    <mergeCell ref="K210:K211"/>
    <mergeCell ref="Y210:Y211"/>
    <mergeCell ref="AI210:AI211"/>
    <mergeCell ref="AK210:AK211"/>
    <mergeCell ref="Z210:Z211"/>
    <mergeCell ref="AA210:AA211"/>
    <mergeCell ref="AB210:AB211"/>
    <mergeCell ref="AF210:AF211"/>
    <mergeCell ref="Y188:Y189"/>
    <mergeCell ref="AI188:AI189"/>
    <mergeCell ref="AK188:AK189"/>
    <mergeCell ref="Z188:Z189"/>
    <mergeCell ref="AA188:AA189"/>
    <mergeCell ref="AB188:AB189"/>
    <mergeCell ref="AF188:AF189"/>
    <mergeCell ref="AG188:AG189"/>
    <mergeCell ref="AH188:AH189"/>
    <mergeCell ref="K190:K191"/>
    <mergeCell ref="Y190:Y191"/>
    <mergeCell ref="AI190:AI191"/>
    <mergeCell ref="AK190:AK191"/>
    <mergeCell ref="Z190:Z191"/>
    <mergeCell ref="AA190:AA191"/>
    <mergeCell ref="AB190:AB191"/>
    <mergeCell ref="AF190:AF191"/>
    <mergeCell ref="AG190:AG191"/>
    <mergeCell ref="AH190:AH191"/>
    <mergeCell ref="AK178:AK179"/>
    <mergeCell ref="Z178:Z179"/>
    <mergeCell ref="AA178:AA179"/>
    <mergeCell ref="AB178:AB179"/>
    <mergeCell ref="AF178:AF179"/>
    <mergeCell ref="AG178:AG179"/>
    <mergeCell ref="AH178:AH179"/>
    <mergeCell ref="J181:J186"/>
    <mergeCell ref="Q181:Q186"/>
    <mergeCell ref="V181:AB181"/>
    <mergeCell ref="AC181:AJ181"/>
    <mergeCell ref="K182:K183"/>
    <mergeCell ref="Y182:Y183"/>
    <mergeCell ref="AI182:AI183"/>
    <mergeCell ref="AK182:AK183"/>
    <mergeCell ref="Z182:Z183"/>
    <mergeCell ref="AA182:AA183"/>
    <mergeCell ref="AB182:AB183"/>
    <mergeCell ref="AF182:AF183"/>
    <mergeCell ref="AG182:AG183"/>
    <mergeCell ref="AH182:AH183"/>
    <mergeCell ref="K184:K185"/>
    <mergeCell ref="Y184:Y185"/>
    <mergeCell ref="AI184:AI185"/>
    <mergeCell ref="AK184:AK185"/>
    <mergeCell ref="Z184:Z185"/>
    <mergeCell ref="AA184:AA185"/>
    <mergeCell ref="AB184:AB185"/>
    <mergeCell ref="AF184:AF185"/>
    <mergeCell ref="AG184:AG185"/>
    <mergeCell ref="AH184:AH185"/>
    <mergeCell ref="AG158:AG159"/>
    <mergeCell ref="AH158:AH159"/>
    <mergeCell ref="J161:J166"/>
    <mergeCell ref="Q161:Q166"/>
    <mergeCell ref="V161:AB161"/>
    <mergeCell ref="AC161:AJ161"/>
    <mergeCell ref="K162:K163"/>
    <mergeCell ref="Y162:Y163"/>
    <mergeCell ref="AI162:AI163"/>
    <mergeCell ref="AK162:AK163"/>
    <mergeCell ref="Z162:Z163"/>
    <mergeCell ref="AA162:AA163"/>
    <mergeCell ref="AB162:AB163"/>
    <mergeCell ref="AF162:AF163"/>
    <mergeCell ref="AG162:AG163"/>
    <mergeCell ref="AH162:AH163"/>
    <mergeCell ref="K164:K165"/>
    <mergeCell ref="Y164:Y165"/>
    <mergeCell ref="AI164:AI165"/>
    <mergeCell ref="AK164:AK165"/>
    <mergeCell ref="Z164:Z165"/>
    <mergeCell ref="AA164:AA165"/>
    <mergeCell ref="AB164:AB165"/>
    <mergeCell ref="AF164:AF165"/>
    <mergeCell ref="AG164:AG165"/>
    <mergeCell ref="AH164:AH165"/>
    <mergeCell ref="K152:K153"/>
    <mergeCell ref="Y152:Y153"/>
    <mergeCell ref="AI152:AI153"/>
    <mergeCell ref="AK152:AK153"/>
    <mergeCell ref="Z152:Z153"/>
    <mergeCell ref="AA152:AA153"/>
    <mergeCell ref="AB152:AB153"/>
    <mergeCell ref="AF152:AF153"/>
    <mergeCell ref="AG152:AG153"/>
    <mergeCell ref="AH152:AH153"/>
    <mergeCell ref="J155:J160"/>
    <mergeCell ref="Q155:Q160"/>
    <mergeCell ref="V155:AB155"/>
    <mergeCell ref="AC155:AJ155"/>
    <mergeCell ref="K156:K157"/>
    <mergeCell ref="Y156:Y157"/>
    <mergeCell ref="AI156:AI157"/>
    <mergeCell ref="AK156:AK157"/>
    <mergeCell ref="Z156:Z157"/>
    <mergeCell ref="AA156:AA157"/>
    <mergeCell ref="AB156:AB157"/>
    <mergeCell ref="AF156:AF157"/>
    <mergeCell ref="AG156:AG157"/>
    <mergeCell ref="AH156:AH157"/>
    <mergeCell ref="K158:K159"/>
    <mergeCell ref="Y158:Y159"/>
    <mergeCell ref="AI158:AI159"/>
    <mergeCell ref="AK158:AK159"/>
    <mergeCell ref="Z158:Z159"/>
    <mergeCell ref="AA158:AA159"/>
    <mergeCell ref="AB158:AB159"/>
    <mergeCell ref="AF158:AF159"/>
    <mergeCell ref="Y136:Y137"/>
    <mergeCell ref="AI136:AI137"/>
    <mergeCell ref="AK136:AK137"/>
    <mergeCell ref="Z136:Z137"/>
    <mergeCell ref="AA136:AA137"/>
    <mergeCell ref="AB136:AB137"/>
    <mergeCell ref="AF136:AF137"/>
    <mergeCell ref="AG136:AG137"/>
    <mergeCell ref="AH136:AH137"/>
    <mergeCell ref="K138:K139"/>
    <mergeCell ref="Y138:Y139"/>
    <mergeCell ref="AI138:AI139"/>
    <mergeCell ref="AK138:AK139"/>
    <mergeCell ref="Z138:Z139"/>
    <mergeCell ref="AA138:AA139"/>
    <mergeCell ref="AB138:AB139"/>
    <mergeCell ref="AF138:AF139"/>
    <mergeCell ref="AG138:AG139"/>
    <mergeCell ref="AH138:AH139"/>
    <mergeCell ref="AK126:AK127"/>
    <mergeCell ref="Z126:Z127"/>
    <mergeCell ref="AA126:AA127"/>
    <mergeCell ref="AB126:AB127"/>
    <mergeCell ref="AF126:AF127"/>
    <mergeCell ref="AG126:AG127"/>
    <mergeCell ref="AH126:AH127"/>
    <mergeCell ref="J129:J134"/>
    <mergeCell ref="Q129:Q134"/>
    <mergeCell ref="V129:AB129"/>
    <mergeCell ref="AC129:AJ129"/>
    <mergeCell ref="K130:K131"/>
    <mergeCell ref="Y130:Y131"/>
    <mergeCell ref="AI130:AI131"/>
    <mergeCell ref="AK130:AK131"/>
    <mergeCell ref="Z130:Z131"/>
    <mergeCell ref="AA130:AA131"/>
    <mergeCell ref="AB130:AB131"/>
    <mergeCell ref="AF130:AF131"/>
    <mergeCell ref="AG130:AG131"/>
    <mergeCell ref="AH130:AH131"/>
    <mergeCell ref="K132:K133"/>
    <mergeCell ref="Y132:Y133"/>
    <mergeCell ref="AI132:AI133"/>
    <mergeCell ref="AK132:AK133"/>
    <mergeCell ref="Z132:Z133"/>
    <mergeCell ref="AA132:AA133"/>
    <mergeCell ref="AB132:AB133"/>
    <mergeCell ref="AF132:AF133"/>
    <mergeCell ref="AG132:AG133"/>
    <mergeCell ref="AH132:AH133"/>
    <mergeCell ref="AG106:AG107"/>
    <mergeCell ref="AH106:AH107"/>
    <mergeCell ref="J109:J114"/>
    <mergeCell ref="Q109:Q114"/>
    <mergeCell ref="V109:AB109"/>
    <mergeCell ref="AC109:AJ109"/>
    <mergeCell ref="K110:K111"/>
    <mergeCell ref="Y110:Y111"/>
    <mergeCell ref="AI110:AI111"/>
    <mergeCell ref="AK110:AK111"/>
    <mergeCell ref="Z110:Z111"/>
    <mergeCell ref="AA110:AA111"/>
    <mergeCell ref="AB110:AB111"/>
    <mergeCell ref="AF110:AF111"/>
    <mergeCell ref="AG110:AG111"/>
    <mergeCell ref="AH110:AH111"/>
    <mergeCell ref="K112:K113"/>
    <mergeCell ref="Y112:Y113"/>
    <mergeCell ref="AI112:AI113"/>
    <mergeCell ref="AK112:AK113"/>
    <mergeCell ref="Z112:Z113"/>
    <mergeCell ref="AA112:AA113"/>
    <mergeCell ref="AB112:AB113"/>
    <mergeCell ref="AF112:AF113"/>
    <mergeCell ref="AG112:AG113"/>
    <mergeCell ref="AH112:AH113"/>
    <mergeCell ref="K100:K101"/>
    <mergeCell ref="Y100:Y101"/>
    <mergeCell ref="AI100:AI101"/>
    <mergeCell ref="AK100:AK101"/>
    <mergeCell ref="Z100:Z101"/>
    <mergeCell ref="AA100:AA101"/>
    <mergeCell ref="AB100:AB101"/>
    <mergeCell ref="AF100:AF101"/>
    <mergeCell ref="AG100:AG101"/>
    <mergeCell ref="AH100:AH101"/>
    <mergeCell ref="J103:J108"/>
    <mergeCell ref="Q103:Q108"/>
    <mergeCell ref="V103:AB103"/>
    <mergeCell ref="AC103:AJ103"/>
    <mergeCell ref="K104:K105"/>
    <mergeCell ref="Y104:Y105"/>
    <mergeCell ref="AI104:AI105"/>
    <mergeCell ref="AK104:AK105"/>
    <mergeCell ref="Z104:Z105"/>
    <mergeCell ref="AA104:AA105"/>
    <mergeCell ref="AB104:AB105"/>
    <mergeCell ref="AF104:AF105"/>
    <mergeCell ref="AG104:AG105"/>
    <mergeCell ref="AH104:AH105"/>
    <mergeCell ref="K106:K107"/>
    <mergeCell ref="Y106:Y107"/>
    <mergeCell ref="AI106:AI107"/>
    <mergeCell ref="AK106:AK107"/>
    <mergeCell ref="Z106:Z107"/>
    <mergeCell ref="AA106:AA107"/>
    <mergeCell ref="AB106:AB107"/>
    <mergeCell ref="AF106:AF107"/>
    <mergeCell ref="AC83:AJ83"/>
    <mergeCell ref="K84:K85"/>
    <mergeCell ref="Y84:Y85"/>
    <mergeCell ref="AI84:AI85"/>
    <mergeCell ref="AK84:AK85"/>
    <mergeCell ref="Z84:Z85"/>
    <mergeCell ref="AA84:AA85"/>
    <mergeCell ref="AB84:AB85"/>
    <mergeCell ref="AF84:AF85"/>
    <mergeCell ref="AG84:AG85"/>
    <mergeCell ref="AH84:AH85"/>
    <mergeCell ref="K86:K87"/>
    <mergeCell ref="Y86:Y87"/>
    <mergeCell ref="AI86:AI87"/>
    <mergeCell ref="AK86:AK87"/>
    <mergeCell ref="Z86:Z87"/>
    <mergeCell ref="AA86:AA87"/>
    <mergeCell ref="AB86:AB87"/>
    <mergeCell ref="AF86:AF87"/>
    <mergeCell ref="AG86:AG87"/>
    <mergeCell ref="AH86:AH87"/>
    <mergeCell ref="AK74:AK75"/>
    <mergeCell ref="Z74:Z75"/>
    <mergeCell ref="AA74:AA75"/>
    <mergeCell ref="AB74:AB75"/>
    <mergeCell ref="AF74:AF75"/>
    <mergeCell ref="AG74:AG75"/>
    <mergeCell ref="AH74:AH75"/>
    <mergeCell ref="J77:J82"/>
    <mergeCell ref="Q77:Q82"/>
    <mergeCell ref="V77:AB77"/>
    <mergeCell ref="AC77:AJ77"/>
    <mergeCell ref="K78:K79"/>
    <mergeCell ref="Y78:Y79"/>
    <mergeCell ref="AI78:AI79"/>
    <mergeCell ref="AK78:AK79"/>
    <mergeCell ref="Z78:Z79"/>
    <mergeCell ref="AA78:AA79"/>
    <mergeCell ref="AB78:AB79"/>
    <mergeCell ref="AF78:AF79"/>
    <mergeCell ref="AG78:AG79"/>
    <mergeCell ref="AH78:AH79"/>
    <mergeCell ref="K80:K81"/>
    <mergeCell ref="Y80:Y81"/>
    <mergeCell ref="AI80:AI81"/>
    <mergeCell ref="AK80:AK81"/>
    <mergeCell ref="Z80:Z81"/>
    <mergeCell ref="AA80:AA81"/>
    <mergeCell ref="AB80:AB81"/>
    <mergeCell ref="AF80:AF81"/>
    <mergeCell ref="AG80:AG81"/>
    <mergeCell ref="AH80:AH81"/>
    <mergeCell ref="K58:K59"/>
    <mergeCell ref="Y58:Y59"/>
    <mergeCell ref="AI58:AI59"/>
    <mergeCell ref="AK58:AK59"/>
    <mergeCell ref="Z58:Z59"/>
    <mergeCell ref="AA58:AA59"/>
    <mergeCell ref="AB58:AB59"/>
    <mergeCell ref="AF58:AF59"/>
    <mergeCell ref="AG58:AG59"/>
    <mergeCell ref="AH58:AH59"/>
    <mergeCell ref="K60:K61"/>
    <mergeCell ref="Y60:Y61"/>
    <mergeCell ref="AI60:AI61"/>
    <mergeCell ref="AK60:AK61"/>
    <mergeCell ref="Z60:Z61"/>
    <mergeCell ref="AA60:AA61"/>
    <mergeCell ref="AB60:AB61"/>
    <mergeCell ref="AF60:AF61"/>
    <mergeCell ref="AG60:AG61"/>
    <mergeCell ref="AH60:AH61"/>
    <mergeCell ref="AF488:AF489"/>
    <mergeCell ref="AG488:AG489"/>
    <mergeCell ref="AH488:AH489"/>
    <mergeCell ref="K48:K49"/>
    <mergeCell ref="Y48:Y49"/>
    <mergeCell ref="AI48:AI49"/>
    <mergeCell ref="AK48:AK49"/>
    <mergeCell ref="Z48:Z49"/>
    <mergeCell ref="AA48:AA49"/>
    <mergeCell ref="AB48:AB49"/>
    <mergeCell ref="AF48:AF49"/>
    <mergeCell ref="AG48:AG49"/>
    <mergeCell ref="AH48:AH49"/>
    <mergeCell ref="J51:J56"/>
    <mergeCell ref="Q51:Q56"/>
    <mergeCell ref="V51:AB51"/>
    <mergeCell ref="AC51:AJ51"/>
    <mergeCell ref="K52:K53"/>
    <mergeCell ref="Y52:Y53"/>
    <mergeCell ref="AI52:AI53"/>
    <mergeCell ref="AK52:AK53"/>
    <mergeCell ref="Z52:Z53"/>
    <mergeCell ref="AA52:AA53"/>
    <mergeCell ref="AB52:AB53"/>
    <mergeCell ref="AF52:AF53"/>
    <mergeCell ref="AG52:AG53"/>
    <mergeCell ref="AH52:AH53"/>
    <mergeCell ref="K54:K55"/>
    <mergeCell ref="Y54:Y55"/>
    <mergeCell ref="AI54:AI55"/>
    <mergeCell ref="AK54:AK55"/>
    <mergeCell ref="Z54:Z55"/>
    <mergeCell ref="AK462:AK463"/>
    <mergeCell ref="Z462:Z463"/>
    <mergeCell ref="AA462:AA463"/>
    <mergeCell ref="AB462:AB463"/>
    <mergeCell ref="AF462:AF463"/>
    <mergeCell ref="AG462:AG463"/>
    <mergeCell ref="AH462:AH463"/>
    <mergeCell ref="E483:E508"/>
    <mergeCell ref="V483:AB483"/>
    <mergeCell ref="AC483:AJ483"/>
    <mergeCell ref="F484:F507"/>
    <mergeCell ref="V484:AB484"/>
    <mergeCell ref="AC484:AJ484"/>
    <mergeCell ref="G485:G506"/>
    <mergeCell ref="V485:AB485"/>
    <mergeCell ref="AC485:AJ485"/>
    <mergeCell ref="H486:H506"/>
    <mergeCell ref="I486:I505"/>
    <mergeCell ref="P486:P505"/>
    <mergeCell ref="V486:AB486"/>
    <mergeCell ref="AC486:AJ486"/>
    <mergeCell ref="J487:J492"/>
    <mergeCell ref="Q487:Q492"/>
    <mergeCell ref="V487:AB487"/>
    <mergeCell ref="AC487:AJ487"/>
    <mergeCell ref="K488:K489"/>
    <mergeCell ref="Y488:Y489"/>
    <mergeCell ref="AI488:AI489"/>
    <mergeCell ref="AK488:AK489"/>
    <mergeCell ref="Z488:Z489"/>
    <mergeCell ref="AA488:AA489"/>
    <mergeCell ref="AB488:AB489"/>
    <mergeCell ref="AF436:AF437"/>
    <mergeCell ref="AG436:AG437"/>
    <mergeCell ref="AH436:AH437"/>
    <mergeCell ref="E457:E482"/>
    <mergeCell ref="V457:AB457"/>
    <mergeCell ref="AC457:AJ457"/>
    <mergeCell ref="F458:F481"/>
    <mergeCell ref="V458:AB458"/>
    <mergeCell ref="AC458:AJ458"/>
    <mergeCell ref="G459:G480"/>
    <mergeCell ref="V459:AB459"/>
    <mergeCell ref="AC459:AJ459"/>
    <mergeCell ref="H460:H480"/>
    <mergeCell ref="I460:I479"/>
    <mergeCell ref="P460:P479"/>
    <mergeCell ref="V460:AB460"/>
    <mergeCell ref="AC460:AJ460"/>
    <mergeCell ref="J461:J466"/>
    <mergeCell ref="Q461:Q466"/>
    <mergeCell ref="V461:AB461"/>
    <mergeCell ref="AC461:AJ461"/>
    <mergeCell ref="K462:K463"/>
    <mergeCell ref="Y462:Y463"/>
    <mergeCell ref="AI462:AI463"/>
    <mergeCell ref="K438:K439"/>
    <mergeCell ref="Y438:Y439"/>
    <mergeCell ref="AI438:AI439"/>
    <mergeCell ref="J447:J452"/>
    <mergeCell ref="Q447:Q452"/>
    <mergeCell ref="V447:AB447"/>
    <mergeCell ref="AC447:AJ447"/>
    <mergeCell ref="K448:K449"/>
    <mergeCell ref="AK410:AK411"/>
    <mergeCell ref="Z410:Z411"/>
    <mergeCell ref="AA410:AA411"/>
    <mergeCell ref="AB410:AB411"/>
    <mergeCell ref="AF410:AF411"/>
    <mergeCell ref="AG410:AG411"/>
    <mergeCell ref="AH410:AH411"/>
    <mergeCell ref="E431:E456"/>
    <mergeCell ref="V431:AB431"/>
    <mergeCell ref="AC431:AJ431"/>
    <mergeCell ref="F432:F455"/>
    <mergeCell ref="V432:AB432"/>
    <mergeCell ref="AC432:AJ432"/>
    <mergeCell ref="G433:G454"/>
    <mergeCell ref="V433:AB433"/>
    <mergeCell ref="AC433:AJ433"/>
    <mergeCell ref="H434:H454"/>
    <mergeCell ref="I434:I453"/>
    <mergeCell ref="P434:P453"/>
    <mergeCell ref="V434:AB434"/>
    <mergeCell ref="AC434:AJ434"/>
    <mergeCell ref="J435:J440"/>
    <mergeCell ref="Q435:Q440"/>
    <mergeCell ref="V435:AB435"/>
    <mergeCell ref="AC435:AJ435"/>
    <mergeCell ref="K436:K437"/>
    <mergeCell ref="Y436:Y437"/>
    <mergeCell ref="AI436:AI437"/>
    <mergeCell ref="AK436:AK437"/>
    <mergeCell ref="Z436:Z437"/>
    <mergeCell ref="AA436:AA437"/>
    <mergeCell ref="AB436:AB437"/>
    <mergeCell ref="AF384:AF385"/>
    <mergeCell ref="AG384:AG385"/>
    <mergeCell ref="AH384:AH385"/>
    <mergeCell ref="E405:E430"/>
    <mergeCell ref="V405:AB405"/>
    <mergeCell ref="AC405:AJ405"/>
    <mergeCell ref="F406:F429"/>
    <mergeCell ref="V406:AB406"/>
    <mergeCell ref="AC406:AJ406"/>
    <mergeCell ref="G407:G428"/>
    <mergeCell ref="V407:AB407"/>
    <mergeCell ref="AC407:AJ407"/>
    <mergeCell ref="H408:H428"/>
    <mergeCell ref="I408:I427"/>
    <mergeCell ref="P408:P427"/>
    <mergeCell ref="V408:AB408"/>
    <mergeCell ref="AC408:AJ408"/>
    <mergeCell ref="J409:J414"/>
    <mergeCell ref="Q409:Q414"/>
    <mergeCell ref="V409:AB409"/>
    <mergeCell ref="AC409:AJ409"/>
    <mergeCell ref="K410:K411"/>
    <mergeCell ref="Y410:Y411"/>
    <mergeCell ref="AI410:AI411"/>
    <mergeCell ref="K386:K387"/>
    <mergeCell ref="Y386:Y387"/>
    <mergeCell ref="AI386:AI387"/>
    <mergeCell ref="J395:J400"/>
    <mergeCell ref="Q395:Q400"/>
    <mergeCell ref="V395:AB395"/>
    <mergeCell ref="AC395:AJ395"/>
    <mergeCell ref="K396:K397"/>
    <mergeCell ref="AK358:AK359"/>
    <mergeCell ref="Z358:Z359"/>
    <mergeCell ref="AA358:AA359"/>
    <mergeCell ref="AB358:AB359"/>
    <mergeCell ref="AF358:AF359"/>
    <mergeCell ref="AG358:AG359"/>
    <mergeCell ref="AH358:AH359"/>
    <mergeCell ref="E379:E404"/>
    <mergeCell ref="V379:AB379"/>
    <mergeCell ref="AC379:AJ379"/>
    <mergeCell ref="F380:F403"/>
    <mergeCell ref="V380:AB380"/>
    <mergeCell ref="AC380:AJ380"/>
    <mergeCell ref="G381:G402"/>
    <mergeCell ref="V381:AB381"/>
    <mergeCell ref="AC381:AJ381"/>
    <mergeCell ref="H382:H402"/>
    <mergeCell ref="I382:I401"/>
    <mergeCell ref="P382:P401"/>
    <mergeCell ref="V382:AB382"/>
    <mergeCell ref="AC382:AJ382"/>
    <mergeCell ref="J383:J388"/>
    <mergeCell ref="Q383:Q388"/>
    <mergeCell ref="V383:AB383"/>
    <mergeCell ref="AC383:AJ383"/>
    <mergeCell ref="K384:K385"/>
    <mergeCell ref="Y384:Y385"/>
    <mergeCell ref="AI384:AI385"/>
    <mergeCell ref="AK384:AK385"/>
    <mergeCell ref="Z384:Z385"/>
    <mergeCell ref="AA384:AA385"/>
    <mergeCell ref="AB384:AB385"/>
    <mergeCell ref="AF332:AF333"/>
    <mergeCell ref="AG332:AG333"/>
    <mergeCell ref="AH332:AH333"/>
    <mergeCell ref="E353:E378"/>
    <mergeCell ref="V353:AB353"/>
    <mergeCell ref="AC353:AJ353"/>
    <mergeCell ref="F354:F377"/>
    <mergeCell ref="V354:AB354"/>
    <mergeCell ref="AC354:AJ354"/>
    <mergeCell ref="G355:G376"/>
    <mergeCell ref="V355:AB355"/>
    <mergeCell ref="AC355:AJ355"/>
    <mergeCell ref="H356:H376"/>
    <mergeCell ref="I356:I375"/>
    <mergeCell ref="P356:P375"/>
    <mergeCell ref="V356:AB356"/>
    <mergeCell ref="AC356:AJ356"/>
    <mergeCell ref="J357:J362"/>
    <mergeCell ref="Q357:Q362"/>
    <mergeCell ref="V357:AB357"/>
    <mergeCell ref="AC357:AJ357"/>
    <mergeCell ref="K358:K359"/>
    <mergeCell ref="Y358:Y359"/>
    <mergeCell ref="AI358:AI359"/>
    <mergeCell ref="K334:K335"/>
    <mergeCell ref="Y334:Y335"/>
    <mergeCell ref="AI334:AI335"/>
    <mergeCell ref="J343:J348"/>
    <mergeCell ref="Q343:Q348"/>
    <mergeCell ref="V343:AB343"/>
    <mergeCell ref="AC343:AJ343"/>
    <mergeCell ref="K344:K345"/>
    <mergeCell ref="AK306:AK307"/>
    <mergeCell ref="Z306:Z307"/>
    <mergeCell ref="AA306:AA307"/>
    <mergeCell ref="AB306:AB307"/>
    <mergeCell ref="AF306:AF307"/>
    <mergeCell ref="AG306:AG307"/>
    <mergeCell ref="AH306:AH307"/>
    <mergeCell ref="E327:E352"/>
    <mergeCell ref="V327:AB327"/>
    <mergeCell ref="AC327:AJ327"/>
    <mergeCell ref="F328:F351"/>
    <mergeCell ref="V328:AB328"/>
    <mergeCell ref="AC328:AJ328"/>
    <mergeCell ref="G329:G350"/>
    <mergeCell ref="V329:AB329"/>
    <mergeCell ref="AC329:AJ329"/>
    <mergeCell ref="H330:H350"/>
    <mergeCell ref="I330:I349"/>
    <mergeCell ref="P330:P349"/>
    <mergeCell ref="V330:AB330"/>
    <mergeCell ref="AC330:AJ330"/>
    <mergeCell ref="J331:J336"/>
    <mergeCell ref="Q331:Q336"/>
    <mergeCell ref="V331:AB331"/>
    <mergeCell ref="AC331:AJ331"/>
    <mergeCell ref="K332:K333"/>
    <mergeCell ref="Y332:Y333"/>
    <mergeCell ref="AI332:AI333"/>
    <mergeCell ref="AK332:AK333"/>
    <mergeCell ref="Z332:Z333"/>
    <mergeCell ref="AA332:AA333"/>
    <mergeCell ref="AB332:AB333"/>
    <mergeCell ref="AF280:AF281"/>
    <mergeCell ref="AG280:AG281"/>
    <mergeCell ref="AH280:AH281"/>
    <mergeCell ref="E301:E326"/>
    <mergeCell ref="V301:AB301"/>
    <mergeCell ref="AC301:AJ301"/>
    <mergeCell ref="F302:F325"/>
    <mergeCell ref="V302:AB302"/>
    <mergeCell ref="AC302:AJ302"/>
    <mergeCell ref="G303:G324"/>
    <mergeCell ref="V303:AB303"/>
    <mergeCell ref="AC303:AJ303"/>
    <mergeCell ref="H304:H324"/>
    <mergeCell ref="I304:I323"/>
    <mergeCell ref="P304:P323"/>
    <mergeCell ref="V304:AB304"/>
    <mergeCell ref="AC304:AJ304"/>
    <mergeCell ref="J305:J310"/>
    <mergeCell ref="Q305:Q310"/>
    <mergeCell ref="V305:AB305"/>
    <mergeCell ref="AC305:AJ305"/>
    <mergeCell ref="K306:K307"/>
    <mergeCell ref="Y306:Y307"/>
    <mergeCell ref="AI306:AI307"/>
    <mergeCell ref="AB288:AB289"/>
    <mergeCell ref="AF288:AF289"/>
    <mergeCell ref="AG288:AG289"/>
    <mergeCell ref="AH288:AH289"/>
    <mergeCell ref="J291:J296"/>
    <mergeCell ref="Q291:Q296"/>
    <mergeCell ref="V291:AB291"/>
    <mergeCell ref="AC291:AJ291"/>
    <mergeCell ref="AK254:AK255"/>
    <mergeCell ref="Z254:Z255"/>
    <mergeCell ref="AA254:AA255"/>
    <mergeCell ref="AB254:AB255"/>
    <mergeCell ref="AF254:AF255"/>
    <mergeCell ref="AG254:AG255"/>
    <mergeCell ref="AH254:AH255"/>
    <mergeCell ref="E275:E300"/>
    <mergeCell ref="V275:AB275"/>
    <mergeCell ref="AC275:AJ275"/>
    <mergeCell ref="F276:F299"/>
    <mergeCell ref="V276:AB276"/>
    <mergeCell ref="AC276:AJ276"/>
    <mergeCell ref="G277:G298"/>
    <mergeCell ref="V277:AB277"/>
    <mergeCell ref="AC277:AJ277"/>
    <mergeCell ref="H278:H298"/>
    <mergeCell ref="I278:I297"/>
    <mergeCell ref="P278:P297"/>
    <mergeCell ref="V278:AB278"/>
    <mergeCell ref="AC278:AJ278"/>
    <mergeCell ref="J279:J284"/>
    <mergeCell ref="Q279:Q284"/>
    <mergeCell ref="V279:AB279"/>
    <mergeCell ref="AC279:AJ279"/>
    <mergeCell ref="K280:K281"/>
    <mergeCell ref="Y280:Y281"/>
    <mergeCell ref="AI280:AI281"/>
    <mergeCell ref="AK280:AK281"/>
    <mergeCell ref="Z280:Z281"/>
    <mergeCell ref="AA280:AA281"/>
    <mergeCell ref="AB280:AB281"/>
    <mergeCell ref="AF228:AF229"/>
    <mergeCell ref="AG228:AG229"/>
    <mergeCell ref="AH228:AH229"/>
    <mergeCell ref="E249:E274"/>
    <mergeCell ref="V249:AB249"/>
    <mergeCell ref="AC249:AJ249"/>
    <mergeCell ref="F250:F273"/>
    <mergeCell ref="V250:AB250"/>
    <mergeCell ref="AC250:AJ250"/>
    <mergeCell ref="G251:G272"/>
    <mergeCell ref="V251:AB251"/>
    <mergeCell ref="AC251:AJ251"/>
    <mergeCell ref="H252:H272"/>
    <mergeCell ref="I252:I271"/>
    <mergeCell ref="P252:P271"/>
    <mergeCell ref="V252:AB252"/>
    <mergeCell ref="AC252:AJ252"/>
    <mergeCell ref="J253:J258"/>
    <mergeCell ref="Q253:Q258"/>
    <mergeCell ref="V253:AB253"/>
    <mergeCell ref="AC253:AJ253"/>
    <mergeCell ref="K254:K255"/>
    <mergeCell ref="Y254:Y255"/>
    <mergeCell ref="AI254:AI255"/>
    <mergeCell ref="K230:K231"/>
    <mergeCell ref="Y230:Y231"/>
    <mergeCell ref="AI230:AI231"/>
    <mergeCell ref="J239:J244"/>
    <mergeCell ref="Q239:Q244"/>
    <mergeCell ref="V239:AB239"/>
    <mergeCell ref="AC239:AJ239"/>
    <mergeCell ref="K240:K241"/>
    <mergeCell ref="AK202:AK203"/>
    <mergeCell ref="Z202:Z203"/>
    <mergeCell ref="AA202:AA203"/>
    <mergeCell ref="AB202:AB203"/>
    <mergeCell ref="AF202:AF203"/>
    <mergeCell ref="AG202:AG203"/>
    <mergeCell ref="AH202:AH203"/>
    <mergeCell ref="E223:E248"/>
    <mergeCell ref="V223:AB223"/>
    <mergeCell ref="AC223:AJ223"/>
    <mergeCell ref="F224:F247"/>
    <mergeCell ref="V224:AB224"/>
    <mergeCell ref="AC224:AJ224"/>
    <mergeCell ref="G225:G246"/>
    <mergeCell ref="V225:AB225"/>
    <mergeCell ref="AC225:AJ225"/>
    <mergeCell ref="H226:H246"/>
    <mergeCell ref="I226:I245"/>
    <mergeCell ref="P226:P245"/>
    <mergeCell ref="V226:AB226"/>
    <mergeCell ref="AC226:AJ226"/>
    <mergeCell ref="J227:J232"/>
    <mergeCell ref="Q227:Q232"/>
    <mergeCell ref="V227:AB227"/>
    <mergeCell ref="AC227:AJ227"/>
    <mergeCell ref="K228:K229"/>
    <mergeCell ref="Y228:Y229"/>
    <mergeCell ref="AI228:AI229"/>
    <mergeCell ref="AK228:AK229"/>
    <mergeCell ref="Z228:Z229"/>
    <mergeCell ref="AA228:AA229"/>
    <mergeCell ref="AB228:AB229"/>
    <mergeCell ref="AF176:AF177"/>
    <mergeCell ref="AG176:AG177"/>
    <mergeCell ref="AH176:AH177"/>
    <mergeCell ref="E197:E222"/>
    <mergeCell ref="V197:AB197"/>
    <mergeCell ref="AC197:AJ197"/>
    <mergeCell ref="F198:F221"/>
    <mergeCell ref="V198:AB198"/>
    <mergeCell ref="AC198:AJ198"/>
    <mergeCell ref="G199:G220"/>
    <mergeCell ref="V199:AB199"/>
    <mergeCell ref="AC199:AJ199"/>
    <mergeCell ref="H200:H220"/>
    <mergeCell ref="I200:I219"/>
    <mergeCell ref="P200:P219"/>
    <mergeCell ref="V200:AB200"/>
    <mergeCell ref="AC200:AJ200"/>
    <mergeCell ref="J201:J206"/>
    <mergeCell ref="Q201:Q206"/>
    <mergeCell ref="V201:AB201"/>
    <mergeCell ref="AC201:AJ201"/>
    <mergeCell ref="K202:K203"/>
    <mergeCell ref="Y202:Y203"/>
    <mergeCell ref="AI202:AI203"/>
    <mergeCell ref="K178:K179"/>
    <mergeCell ref="Y178:Y179"/>
    <mergeCell ref="AI178:AI179"/>
    <mergeCell ref="J187:J192"/>
    <mergeCell ref="Q187:Q192"/>
    <mergeCell ref="V187:AB187"/>
    <mergeCell ref="AC187:AJ187"/>
    <mergeCell ref="K188:K189"/>
    <mergeCell ref="AK150:AK151"/>
    <mergeCell ref="Z150:Z151"/>
    <mergeCell ref="AA150:AA151"/>
    <mergeCell ref="AB150:AB151"/>
    <mergeCell ref="AF150:AF151"/>
    <mergeCell ref="AG150:AG151"/>
    <mergeCell ref="AH150:AH151"/>
    <mergeCell ref="E171:E196"/>
    <mergeCell ref="V171:AB171"/>
    <mergeCell ref="AC171:AJ171"/>
    <mergeCell ref="F172:F195"/>
    <mergeCell ref="V172:AB172"/>
    <mergeCell ref="AC172:AJ172"/>
    <mergeCell ref="G173:G194"/>
    <mergeCell ref="V173:AB173"/>
    <mergeCell ref="AC173:AJ173"/>
    <mergeCell ref="H174:H194"/>
    <mergeCell ref="I174:I193"/>
    <mergeCell ref="P174:P193"/>
    <mergeCell ref="V174:AB174"/>
    <mergeCell ref="AC174:AJ174"/>
    <mergeCell ref="J175:J180"/>
    <mergeCell ref="Q175:Q180"/>
    <mergeCell ref="V175:AB175"/>
    <mergeCell ref="AC175:AJ175"/>
    <mergeCell ref="K176:K177"/>
    <mergeCell ref="Y176:Y177"/>
    <mergeCell ref="AI176:AI177"/>
    <mergeCell ref="AK176:AK177"/>
    <mergeCell ref="Z176:Z177"/>
    <mergeCell ref="AA176:AA177"/>
    <mergeCell ref="AB176:AB177"/>
    <mergeCell ref="AF124:AF125"/>
    <mergeCell ref="AG124:AG125"/>
    <mergeCell ref="AH124:AH125"/>
    <mergeCell ref="E145:E170"/>
    <mergeCell ref="V145:AB145"/>
    <mergeCell ref="AC145:AJ145"/>
    <mergeCell ref="F146:F169"/>
    <mergeCell ref="V146:AB146"/>
    <mergeCell ref="AC146:AJ146"/>
    <mergeCell ref="G147:G168"/>
    <mergeCell ref="V147:AB147"/>
    <mergeCell ref="AC147:AJ147"/>
    <mergeCell ref="H148:H168"/>
    <mergeCell ref="I148:I167"/>
    <mergeCell ref="P148:P167"/>
    <mergeCell ref="V148:AB148"/>
    <mergeCell ref="AC148:AJ148"/>
    <mergeCell ref="J149:J154"/>
    <mergeCell ref="Q149:Q154"/>
    <mergeCell ref="V149:AB149"/>
    <mergeCell ref="AC149:AJ149"/>
    <mergeCell ref="K150:K151"/>
    <mergeCell ref="Y150:Y151"/>
    <mergeCell ref="AI150:AI151"/>
    <mergeCell ref="K126:K127"/>
    <mergeCell ref="Y126:Y127"/>
    <mergeCell ref="AI126:AI127"/>
    <mergeCell ref="J135:J140"/>
    <mergeCell ref="Q135:Q140"/>
    <mergeCell ref="V135:AB135"/>
    <mergeCell ref="AC135:AJ135"/>
    <mergeCell ref="K136:K137"/>
    <mergeCell ref="AK98:AK99"/>
    <mergeCell ref="Z98:Z99"/>
    <mergeCell ref="AA98:AA99"/>
    <mergeCell ref="AB98:AB99"/>
    <mergeCell ref="AF98:AF99"/>
    <mergeCell ref="AG98:AG99"/>
    <mergeCell ref="AH98:AH99"/>
    <mergeCell ref="E119:E144"/>
    <mergeCell ref="V119:AB119"/>
    <mergeCell ref="AC119:AJ119"/>
    <mergeCell ref="F120:F143"/>
    <mergeCell ref="V120:AB120"/>
    <mergeCell ref="AC120:AJ120"/>
    <mergeCell ref="G121:G142"/>
    <mergeCell ref="V121:AB121"/>
    <mergeCell ref="AC121:AJ121"/>
    <mergeCell ref="H122:H142"/>
    <mergeCell ref="I122:I141"/>
    <mergeCell ref="P122:P141"/>
    <mergeCell ref="V122:AB122"/>
    <mergeCell ref="AC122:AJ122"/>
    <mergeCell ref="J123:J128"/>
    <mergeCell ref="Q123:Q128"/>
    <mergeCell ref="V123:AB123"/>
    <mergeCell ref="AC123:AJ123"/>
    <mergeCell ref="K124:K125"/>
    <mergeCell ref="Y124:Y125"/>
    <mergeCell ref="AI124:AI125"/>
    <mergeCell ref="AK124:AK125"/>
    <mergeCell ref="Z124:Z125"/>
    <mergeCell ref="AA124:AA125"/>
    <mergeCell ref="AB124:AB125"/>
    <mergeCell ref="AA72:AA73"/>
    <mergeCell ref="AB72:AB73"/>
    <mergeCell ref="AF72:AF73"/>
    <mergeCell ref="AG72:AG73"/>
    <mergeCell ref="AH72:AH73"/>
    <mergeCell ref="E93:E118"/>
    <mergeCell ref="V93:AB93"/>
    <mergeCell ref="AC93:AJ93"/>
    <mergeCell ref="F94:F117"/>
    <mergeCell ref="V94:AB94"/>
    <mergeCell ref="AC94:AJ94"/>
    <mergeCell ref="G95:G116"/>
    <mergeCell ref="V95:AB95"/>
    <mergeCell ref="AC95:AJ95"/>
    <mergeCell ref="H96:H116"/>
    <mergeCell ref="I96:I115"/>
    <mergeCell ref="P96:P115"/>
    <mergeCell ref="V96:AB96"/>
    <mergeCell ref="AC96:AJ96"/>
    <mergeCell ref="J97:J102"/>
    <mergeCell ref="Q97:Q102"/>
    <mergeCell ref="V97:AB97"/>
    <mergeCell ref="AC97:AJ97"/>
    <mergeCell ref="K98:K99"/>
    <mergeCell ref="Y98:Y99"/>
    <mergeCell ref="AI98:AI99"/>
    <mergeCell ref="K74:K75"/>
    <mergeCell ref="Y74:Y75"/>
    <mergeCell ref="AI74:AI75"/>
    <mergeCell ref="J83:J88"/>
    <mergeCell ref="Q83:Q88"/>
    <mergeCell ref="V83:AB83"/>
    <mergeCell ref="AK46:AK47"/>
    <mergeCell ref="T511:AK511"/>
    <mergeCell ref="T513:AK513"/>
    <mergeCell ref="K46:K47"/>
    <mergeCell ref="Y46:Y47"/>
    <mergeCell ref="Z46:Z47"/>
    <mergeCell ref="AA46:AA47"/>
    <mergeCell ref="AB46:AB47"/>
    <mergeCell ref="AF46:AF47"/>
    <mergeCell ref="E67:E92"/>
    <mergeCell ref="V67:AB67"/>
    <mergeCell ref="AC67:AJ67"/>
    <mergeCell ref="F68:F91"/>
    <mergeCell ref="V68:AB68"/>
    <mergeCell ref="AC68:AJ68"/>
    <mergeCell ref="G69:G90"/>
    <mergeCell ref="V69:AB69"/>
    <mergeCell ref="AC69:AJ69"/>
    <mergeCell ref="H70:H90"/>
    <mergeCell ref="I70:I89"/>
    <mergeCell ref="P70:P89"/>
    <mergeCell ref="V70:AB70"/>
    <mergeCell ref="AC70:AJ70"/>
    <mergeCell ref="J71:J76"/>
    <mergeCell ref="Q71:Q76"/>
    <mergeCell ref="V71:AB71"/>
    <mergeCell ref="AC71:AJ71"/>
    <mergeCell ref="K72:K73"/>
    <mergeCell ref="Y72:Y73"/>
    <mergeCell ref="AI72:AI73"/>
    <mergeCell ref="AK72:AK73"/>
    <mergeCell ref="Z72:Z73"/>
    <mergeCell ref="Z40:AA40"/>
    <mergeCell ref="AG40:AH40"/>
    <mergeCell ref="E41:E66"/>
    <mergeCell ref="V41:AB41"/>
    <mergeCell ref="AC41:AJ41"/>
    <mergeCell ref="F42:F65"/>
    <mergeCell ref="V42:AB42"/>
    <mergeCell ref="AC42:AJ42"/>
    <mergeCell ref="G43:G64"/>
    <mergeCell ref="V43:AB43"/>
    <mergeCell ref="AC43:AJ43"/>
    <mergeCell ref="H44:H64"/>
    <mergeCell ref="I44:I63"/>
    <mergeCell ref="P44:P63"/>
    <mergeCell ref="V44:AB44"/>
    <mergeCell ref="AC44:AJ44"/>
    <mergeCell ref="J45:J50"/>
    <mergeCell ref="Q45:Q50"/>
    <mergeCell ref="V45:AB45"/>
    <mergeCell ref="AC45:AJ45"/>
    <mergeCell ref="AG46:AG47"/>
    <mergeCell ref="AH46:AH47"/>
    <mergeCell ref="AI46:AI47"/>
    <mergeCell ref="AA54:AA55"/>
    <mergeCell ref="AB54:AB55"/>
    <mergeCell ref="AF54:AF55"/>
    <mergeCell ref="AG54:AG55"/>
    <mergeCell ref="AH54:AH55"/>
    <mergeCell ref="J57:J62"/>
    <mergeCell ref="Q57:Q62"/>
    <mergeCell ref="V57:AB57"/>
    <mergeCell ref="AC57:AJ5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537:AJ983537 V66033:AJ66033 V131569:AJ131569 V197105:AJ197105 V262641:AJ262641 V328177:AJ328177 V393713:AJ393713 V459249:AJ459249 V524785:AJ524785 V590321:AJ590321 V655857:AJ655857 V721393:AJ721393 V786929:AJ786929 V852465:AJ852465 V918001:AJ918001">
      <formula1>kind_of_cons</formula1>
    </dataValidation>
    <dataValidation allowBlank="1" sqref="S131572:AK131578 S197108:AK197114 S262644:AK262650 S328180:AK328186 S393716:AK393722 S459252:AK459258 S524788:AK524794 S590324:AK590330 S655860:AK655866 S721396:AK721402 S786932:AK786938 S852468:AK852474 S918004:AK918010 S983540:AK983546 S66036:AK66042"/>
    <dataValidation allowBlank="1" showInputMessage="1" showErrorMessage="1" prompt="Для выбора выполните двойной щелчок левой клавиши мыши по соответствующей ячейке." sqref="Z66034 Z131570 Z197106 Z262642 Z328178 Z393714 Z459250 Z524786 Z590322 Z655858 Z721394 Z786930 Z852466 Z918002 Z983538 AB131570 AB459250 AB197106 AB262642 AB328178 AB393714 AB524786 AB590322 AB655858 AB721394 AB786930 AB852466 AB918002 AB983538 AB66034 AG66034 AG131570 AG197106 AG262642 AG328178 AG393714 AG459250 AG524786 AG590322 AG655858 AG721394 AG786930 AG852466 AG918002 AG983538 AI524786 AI197106 AI590322 AI655858 AI15 AI721394 AI786930 AI852466 AI918002 AI983538 AI66034 AI131570 AI459250 AI262642 AI7 AG46 AI328178 AG15 AG7 Z7 AB7 AI393714 AI46 Z46 AB46 Z72 AB72 AG72 AI72 Z98 AB98 AG98 AI98 Z124 AB124 AG124 AI124 Z150 AB150 AG150 AI150 Z176 AB176 AG176 AI176 Z202 AB202 AG202 AI202 Z228 AB228 AG228 AI228 Z254 AB254 AG254 AI254 Z280 AB280 AG280 AI280 Z306 AB306 AG306 AI306 Z332 AB332 AG332 AI332 Z358 AB358 AG358 AI358 Z384 AB384 AG384 AI384 Z410 AB410 AG410 AI410 Z436 AB436 AG436 AI436 Z462 AB462 AG462 AI462 Z488 AB488 AG488 AI488 Z48 AB48 AG48 AI48 Z52 AB52 AG52 AI52 Z54 AB54 AG54 AI54 Z58 AB58 AG58 AI58 Z60 AB60 AG60 AI60 Z74 AB74 AG74 AI74 Z78 AB78 AG78 AI78 Z80 AB80 AG80 AI80 Z84 AB84 AG84 AI84 Z86 AB86 AG86 AI86 Z100 AB100 AG100 AI100 Z104 AB104 AG104 AI104 Z106 AB106 AG106 AI106 Z110 AB110 AG110 AI110 Z112 AB112 AG112 AI112 Z126 AB126 AG126 AI126 Z130 AB130 AG130 AI130 Z132 AB132 AG132 AI132 Z136 AB136 AG136 AI136 Z138 AB138 AG138 AI138 Z152 AB152 AG152 AI152 Z156 AB156 AG156 AI156 Z158 AB158 AG158 AI158 Z162 AB162 AG162 AI162 Z164 AB164 AG164 AI164 Z178 AB178 AG178 AI178 Z182 AB182 AG182 AI182 Z184 AB184 AG184 AI184 Z188 AB188 AG188 AI188 Z190 AB190 AG190 AI190 Z204 AB204 AG204 AI204 Z208 AB208 AG208 AI208 Z210 AB210 AG210 AI210 Z214 AB214 AG214 AI214 Z216 AB216 AG216 AI216 Z230 AB230 AG230 AI230 Z234 AB234 AG234 AI234 Z236 AB236 AG236 AI236 Z240 AB240 AG240 AI240 Z242 AB242 AG242 AI242 Z256 AB256 AG256 AI256 Z260 AB260 AG260 AI260 Z266 AB266 AG266 AI266 Z262 AB262 AG262 AI262 Z268 AB268 AG268 AI268 Z282 AB282 AG282 AI282 Z286 AB286 AG286 AI286 Z288 AB288 AG288 AI288 Z292 AB292 AG292 AI292 Z294 AB294 AG294 AI294 Z308 AB308 AG308 AI308 Z312 AB312 AG312 AI312 Z314 AB314 AG314 AI314 Z318 AB318 AG318 AI318 Z320 AB320 AG320 AI320 Z334 AB334 AG334 AI334 Z338 AB338 AG338 AI338 Z340 AB340 AG340 AI340 Z344 AB344 AG344 AI344 Z346 AB346 AG346 AI346 Z360 AB360 AG360 AI360 Z364 AB364 AG364 AI364 Z366 AB366 AG366 AI366 Z370 AB370 AG370 AI370 Z372 AB372 AG372 AI372 Z386 AB386 AG386 AI386 Z390 AB390 AG390 AI390 Z392 AB392 AG392 AI392 Z396 AB396 AG396 AI396 Z398 AB398 AG398 AI398 Z412 AB412 AG412 AI412 Z416 AB416 AG416 AI416 Z418 AB418 AG418 AI418 Z422 AB422 AG422 AI422 Z424 AB424 AG424 AI424 Z438 AB438 AG438 AI438 Z442 AB442 AG442 AI442 Z444 AB444 AG444 AI444 Z448 AB448 AG448 AI448 Z450 AB450 AG450 AI450 Z464 AB464 AG464 AI464 Z468 AB468 AG468 AI468 Z470 AB470 AG470 AI470 Z474 AB474 AG474 AI474 Z476 AB476 AG476 AI476 Z490 AB490 AG490 AI490 Z494 AB494 AG494 AI494 Z496 AB496 AG496 AI496 Z500 AB500 AG500 AI500 Z502 AB502 AG502 AI50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6034 Y131570 Y197106 Y262642 Y328178 Y393714 Y459250 Y524786 Y590322 Y655858 Y721394 Y786930 Y852466 Y918002 Y983538 AA66034 AA131570 AA197106 AA262642 AA328178 AA393714 AA459250 AA524786 AA590322 AA655858 AA721394 AA786930 AA852466 AA918002 AA983538 AF15 AF66034 AF131570 AF197106 AF262642 AF328178 AF393714 AF459250 AF524786 AF590322 AF655858 AF721394 AF786930 AF852466 AF918002 AF983538 AH66034 AH131570 AH197106 AH262642 AH328178 AH393714 AH459250 AH524786 AH590322 AH655858 AH721394 AH786930 AH852466 AH918002 AH983538 AH46 AF46 AH15 AH7 AF7 Y7 AA7 Y46 AA46 Y72 AA72 AF72 AH72 Y98 AA98 AF98 AH98 Y124 AA124 AF124 AH124 Y150 AA150 AF150 AH150 Y176 AA176 AF176 AH176 Y202 AA202 AF202 AH202 Y228 AA228 AF228 AH228 Y254 AA254 AF254 AH254 Y280 AA280 AF280 AH280 Y306 AA306 AF306 AH306 Y332 AA332 AF332 AH332 Y358 AA358 AF358 AH358 Y384 AA384 AF384 AH384 Y410 AA410 AF410 AH410 Y436 AA436 AF436 AH436 Y462 AA462 AF462 AH462 Y488 AA488 AF488 AH488 Y48 AA48 AF48 AH48 Y52 AA52 AF52 AH52 Y54 AA54 AF54 AH54 Y58 AA58 AF58 AH58 Y60 AA60 AF60 AH60 Y74 AA74 AF74 AH74 Y78 AA78 AF78 AH78 Y80 AA80 AF80 AH80 Y84 AA84 AF84 AH84 Y86 AA86 AF86 AH86 Y100 AA100 AF100 AH100 Y104 AA104 AF104 AH104 Y106 AA106 AF106 AH106 Y110 AA110 AF110 AH110 Y112 AA112 AF112 AH112 Y126 AA126 AF126 AH126 Y130 AA130 AF130 AH130 Y132 AA132 AF132 AH132 Y136 AA136 AF136 AH136 Y138 AA138 AF138 AH138 Y152 AA152 AF152 AH152 Y156 AA156 AF156 AH156 Y158 AA158 AF158 AH158 Y162 AA162 AF162 AH162 Y164 AA164 AF164 AH164 Y178 AA178 AF178 AH178 Y182 AA182 AF182 AH182 Y184 AA184 AF184 AH184 Y188 AA188 AF188 AH188 Y190 AA190 AF190 AH190 Y204 AA204 AF204 AH204 Y208 AA208 AF208 AH208 Y210 AA210 AF210 AH210 Y214 AA214 AF214 AH214 Y216 AA216 AF216 AH216 Y230 AA230 AF230 AH230 Y234 AA234 AF234 AH234 Y236 AA236 AF236 AH236 Y240 AA240 AF240 AH240 Y242 AA242 AF242 AH242 Y256 AA256 AF256 AH256 Y260 AA260 AF260 AH260 Y266 AA266 AF266 AH266 Y262 AA262 AF262 AH262 Y268 AA268 AF268 AH268 Y282 AA282 AF282 AH282 Y286 AA286 AF286 AH286 Y288 AA288 AF288 AH288 Y292 AA292 AF292 AH292 Y294 AA294 AF294 AH294 Y308 AA308 AF308 AH308 Y312 AA312 AF312 AH312 Y314 AA314 AF314 AH314 Y318 AA318 AF318 AH318 Y320 AA320 AF320 AH320 Y334 AA334 AF334 AH334 Y338 AA338 AF338 AH338 Y340 AA340 AF340 AH340 Y344 AA344 AF344 AH344 Y346 AA346 AF346 AH346 Y360 AA360 AF360 AH360 Y364 AA364 AF364 AH364 Y366 AA366 AF366 AH366 Y370 AA370 AF370 AH370 Y372 AA372 AF372 AH372 Y386 AA386 AF386 AH386 Y390 AA390 AF390 AH390 Y392 AA392 AF392 AH392 Y396 AA396 AF396 AH396 Y398 AA398 AF398 AH398 Y412 AA412 AF412 AH412 Y416 AA416 AF416 AH416 Y418 AA418 AF418 AH418 Y422 AA422 AF422 AH422 Y424 AA424 AF424 AH424 Y438 AA438 AF438 AH438 Y442 AA442 AF442 AH442 Y444 AA444 AF444 AH444 Y448 AA448 AF448 AH448 Y450 AA450 AF450 AH450 Y464 AA464 AF464 AH464 Y468 AA468 AF468 AH468 Y470 AA470 AF470 AH470 Y474 AA474 AF474 AH474 Y476 AA476 AF476 AH476 Y490 AA490 AF490 AH490 Y494 AA494 AF494 AH494 Y496 AA496 AF496 AH496 Y500 AA500 AF500 AH500 Y502 AA502 AF502 AH502"/>
    <dataValidation type="list" allowBlank="1" showInputMessage="1" showErrorMessage="1" errorTitle="Ошибка" error="Выберите значение из списка" sqref="T66034 T131570 T197106 T262642 T328178 T393714 T459250 T524786 T590322 T655858 T721394 T786930 T852466 T918002 T983538">
      <formula1>kind_of_heat_transfer</formula1>
    </dataValidation>
    <dataValidation type="textLength" operator="lessThanOrEqual" allowBlank="1" showInputMessage="1" showErrorMessage="1" errorTitle="Ошибка" error="Допускается ввод не более 900 символов!" sqref="AK66028:AK66035 AK131564:AK131571 AK197100:AK197107 AK262636:AK262643 AK328172:AK328179 AK393708:AK393715 AK459244:AK459251 AK524780:AK524787 AK590316:AK590323 AK655852:AK655859 AK721388:AK721395 AK786924:AK786931 AK852460:AK852467 AK917996:AK918003 AK983532:AK983539 T46 T7 AC5:AJ5 AC44:AJ44 AC70 AD70 AE70 AF70 AG70 AH70 AI70 AJ70 T72 AC96 AD96 AE96 AF96 AG96 AH96 AI96 AJ96 T98 AC122 AD122 AE122 AF122 AG122 AH122 AI122 AJ122 T124 AC148 AD148 AE148 AF148 AG148 AH148 AI148 AJ148 T150 AC174 AD174 AE174 AF174 AG174 AH174 AI174 AJ174 T176 AC200 AD200 AE200 AF200 AG200 AH200 AI200 AJ200 T202 AC226 AD226 AE226 AF226 AG226 AH226 AI226 AJ226 T228 AC252 AD252 AE252 AF252 AG252 AH252 AI252 AJ252 T254 AC278 AD278 AE278 AF278 AG278 AH278 AI278 AJ278 T280 AC304 AD304 AE304 AF304 AG304 AH304 AI304 AJ304 T306 AC330 AD330 AE330 AF330 AG330 AH330 AI330 AJ330 T332 AC356 AD356 AE356 AF356 AG356 AH356 AI356 AJ356 T358 AC382 AD382 AE382 AF382 AG382 AH382 AI382 AJ382 T384 AC408 AD408 AE408 AF408 AG408 AH408 AI408 AJ408 T410 AC434 AD434 AE434 AF434 AG434 AH434 AI434 AJ434 T436 AC460 AD460 AE460 AF460 AG460 AH460 AI460 AJ460 T462 AC486 AD486 AE486 AF486 AG486 AH486 AI486 AJ486 T488 T48 T52 T54 T58 T60 T74 T78 T80 T84 T86 T100 T104 T106 T110 T112 T126 T130 T132 T136 T138 T152 T156 T158 T162 T164 T178 T182 T184 T188 T190 T204 T208 T210 T214 T216 T230 T234 T236 T240 T242 T256 T260 T266 T262 T268 T282 T286 T288 T292 T294 T308 T312 T314 T318 T320 T334 T338 T340 T344 T346 T360 T364 T366 T370 T372 T386 T390 T392 T396 T398 T412 T416 T418 T422 T424 T438 T442 T444 T448 T450 T464 T468 T470 T474 T476 T490 T494 T496 T500 T502">
      <formula1>900</formula1>
    </dataValidation>
    <dataValidation type="list" allowBlank="1" showInputMessage="1" showErrorMessage="1" errorTitle="Ошибка" error="Выберите значение из списка" sqref="V983536 V66032 V131568 V197104 V262640 V328176 V393712 V459248 V524784 V590320 V655856 V721392 V786928 V852464 V918000 AC983536 AC66032 AC131568 AC197104 AC262640 AC328176 AC393712 AC459248 AC524784 AC590320 AC655856 AC721392 AC786928 AC852464 AC918000">
      <formula1>kind_of_scheme_in</formula1>
    </dataValidation>
    <dataValidation allowBlank="1" promptTitle="checkPeriodRange" sqref="X66035 X131571 X197107 X262643 X328179 X393715 X459251 X524787 X590323 X655859 X721395 X786931 X852467 X918003 X983539 AE16 AE66035 AE131571 AE197107 AE262643 AE328179 AE393715 AE459251 AE524787 AE590323 AE655859 AE721395 AE786931 AE852467 AE918003 AE983539 AE47 AE49 AE8 X8 X47 X49 X73 X75 AE73 AE75 X99 X101 AE99 AE101 X125 X127 AE125 AE127 X151 X153 AE151 AE153 X177 X179 AE177 AE179 X203 X205 AE203 AE205 X229 X231 AE229 AE231 X255 X257 AE255 AE257 X281 X283 AE281 AE283 X307 X309 AE307 AE309 X333 X335 AE333 AE335 X359 X361 AE359 AE361 X385 X387 AE385 AE387 X411 X413 AE411 AE413 X437 X439 AE437 AE439 X463 X465 AE463 AE465 X489 X491 AE489 AE491 X53 X55 AE53 AE55 X59 X61 AE59 AE61 X79 X81 AE79 AE81 X85 X87 AE85 AE87 X105 X107 AE105 AE107 X111 X113 AE111 AE113 X131 X133 AE131 AE133 X137 X139 AE137 AE139 X157 X159 AE157 AE159 X163 X165 AE163 AE165 X183 X185 AE183 AE185 X189 X191 AE189 AE191 X209 X211 AE209 AE211 X215 X217 AE215 AE217 X235 X237 AE235 AE237 X241 X243 AE241 AE243 X261 X263 AE261 AE263 X267 X269 AE267 AE269 X287 X289 AE287 AE289 X293 X295 AE293 AE295 X313 X315 AE313 AE315 X319 X321 AE319 AE321 X339 X341 AE339 AE341 X345 X347 AE345 AE347 X365 X367 AE365 AE367 X371 X373 AE371 AE373 X391 X393 AE391 AE393 X397 X399 AE397 AE399 X417 X419 AE417 AE419 X423 X425 AE423 AE425 X443 X445 AE443 AE445 X449 X451 AE449 AE451 X469 X471 AE469 AE471 X475 X477 AE475 AE477 X495 X497 AE495 AE497 X501 X503 AE501 AE50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5" hidden="1" customWidth="1"/>
    <col min="13" max="14" width="12.28515625" style="1948" hidden="1" customWidth="1"/>
    <col min="15" max="15" width="23.42578125" style="1948" hidden="1" customWidth="1"/>
    <col min="16" max="16" width="3.7109375" style="4066"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404"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98"/>
      <c r="Q3" s="278"/>
      <c r="R3" s="279"/>
      <c r="S3" s="1404"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404" t="e">
        <f>INDEX(PT_DIFFERENTIATION_NUM_CS,MATCH(C4,PT_DIFFERENTIATION_CS_ID,0))</f>
        <v>#N/A</v>
      </c>
      <c r="T4" s="230" t="s">
        <v>652</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653</v>
      </c>
      <c r="AM4" s="427"/>
      <c r="AN4" s="427" t="str">
        <f t="shared" si="0"/>
        <v>Наименование централизованной системы водоотведения</v>
      </c>
      <c r="AO4" s="427"/>
      <c r="AP4" s="427"/>
    </row>
    <row r="5" spans="1:42" ht="23.25" hidden="1" customHeight="1">
      <c r="A5" s="1280"/>
      <c r="B5" s="1280"/>
      <c r="C5" s="1280"/>
      <c r="D5" s="1280"/>
      <c r="E5" s="4760"/>
      <c r="F5" s="4760"/>
      <c r="G5" s="4760"/>
      <c r="H5" s="4760"/>
      <c r="I5" s="4757" t="e">
        <f>S4&amp;".1"</f>
        <v>#N/A</v>
      </c>
      <c r="J5" s="1280"/>
      <c r="K5" s="1280"/>
      <c r="L5" s="1281"/>
      <c r="P5" s="4758">
        <v>1</v>
      </c>
      <c r="Q5" s="1392"/>
      <c r="R5" s="282"/>
      <c r="S5" s="1404"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404"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404"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401"/>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92"/>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405"/>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89"/>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89"/>
      <c r="M19" s="1279"/>
      <c r="N19" s="1279"/>
      <c r="O19" s="1279"/>
      <c r="P19" s="1279"/>
      <c r="Q19" s="1288"/>
      <c r="R19" s="1288"/>
      <c r="S19" s="649"/>
      <c r="AB19" s="1283"/>
      <c r="AI19" s="1283"/>
      <c r="AL19" s="438"/>
      <c r="AM19" s="438"/>
      <c r="AN19" s="438"/>
      <c r="AO19" s="438"/>
      <c r="AP19" s="438"/>
    </row>
    <row r="20" spans="1:42" s="1835" customFormat="1" ht="12" hidden="1" customHeight="1">
      <c r="L20" s="1389"/>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474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94" t="s">
        <v>627</v>
      </c>
      <c r="W38" s="4598" t="s">
        <v>574</v>
      </c>
      <c r="X38" s="4597"/>
      <c r="Y38" s="4598" t="s">
        <v>575</v>
      </c>
      <c r="Z38" s="4604"/>
      <c r="AA38" s="4597"/>
      <c r="AB38" s="4772"/>
      <c r="AC38" s="1394" t="s">
        <v>627</v>
      </c>
      <c r="AD38" s="4598" t="s">
        <v>574</v>
      </c>
      <c r="AE38" s="4597"/>
      <c r="AF38" s="4598" t="s">
        <v>575</v>
      </c>
      <c r="AG38" s="4604"/>
      <c r="AH38" s="4597"/>
      <c r="AI38" s="4772"/>
      <c r="AJ38" s="4775"/>
      <c r="AK38" s="4627"/>
    </row>
    <row r="39" spans="1:42" ht="86.2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94" t="s">
        <v>654</v>
      </c>
      <c r="W39" s="1129" t="s">
        <v>655</v>
      </c>
      <c r="X39" s="1129" t="s">
        <v>632</v>
      </c>
      <c r="Y39" s="1400" t="s">
        <v>585</v>
      </c>
      <c r="Z39" s="4727" t="s">
        <v>586</v>
      </c>
      <c r="AA39" s="4729"/>
      <c r="AB39" s="4773"/>
      <c r="AC39" s="1394" t="s">
        <v>654</v>
      </c>
      <c r="AD39" s="1129" t="s">
        <v>655</v>
      </c>
      <c r="AE39" s="1129" t="s">
        <v>632</v>
      </c>
      <c r="AF39" s="1400" t="s">
        <v>585</v>
      </c>
      <c r="AG39" s="4727" t="s">
        <v>586</v>
      </c>
      <c r="AH39" s="4729"/>
      <c r="AI39" s="4773"/>
      <c r="AJ39" s="4776"/>
      <c r="AK39" s="4627"/>
    </row>
    <row r="40" spans="1:42" s="1820"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93">
        <f ca="1">OFFSET(V40,0,-1)+1</f>
        <v>3</v>
      </c>
      <c r="W40" s="1393">
        <f ca="1">OFFSET(W40,0,-1)+1</f>
        <v>4</v>
      </c>
      <c r="X40" s="1393">
        <f ca="1">OFFSET(X40,0,-1)+1</f>
        <v>5</v>
      </c>
      <c r="Y40" s="1393">
        <f ca="1">OFFSET(Y40,0,-1)+1</f>
        <v>6</v>
      </c>
      <c r="Z40" s="4766">
        <f ca="1">OFFSET(Z40,0,-1)+1</f>
        <v>7</v>
      </c>
      <c r="AA40" s="4766"/>
      <c r="AB40" s="1393">
        <f ca="1">OFFSET(AB40,0,-2)+1</f>
        <v>8</v>
      </c>
      <c r="AC40" s="1393">
        <f ca="1">OFFSET(AC40,0,-1)+1</f>
        <v>9</v>
      </c>
      <c r="AD40" s="1393">
        <f ca="1">OFFSET(AD40,0,-1)+1</f>
        <v>10</v>
      </c>
      <c r="AE40" s="1393">
        <f ca="1">OFFSET(AE40,0,-1)+1</f>
        <v>11</v>
      </c>
      <c r="AF40" s="1393">
        <f ca="1">OFFSET(AF40,0,-1)+1</f>
        <v>12</v>
      </c>
      <c r="AG40" s="4766">
        <f ca="1">OFFSET(AG40,0,-1)+1</f>
        <v>13</v>
      </c>
      <c r="AH40" s="4766"/>
      <c r="AI40" s="1393">
        <f ca="1">OFFSET(AI40,0,-2)+1</f>
        <v>14</v>
      </c>
      <c r="AJ40" s="1155">
        <f ca="1">OFFSET(AJ40,0,-1)</f>
        <v>14</v>
      </c>
      <c r="AK40" s="1393">
        <f ca="1">OFFSET(AK40,0,-1)+1</f>
        <v>15</v>
      </c>
      <c r="AL40" s="438"/>
      <c r="AM40" s="438"/>
      <c r="AN40" s="438"/>
      <c r="AO40" s="438"/>
      <c r="AP40" s="438"/>
    </row>
    <row r="41" spans="1:42" ht="23.25" customHeight="1">
      <c r="A41" s="1280" t="s">
        <v>410</v>
      </c>
      <c r="B41" s="1280"/>
      <c r="C41" s="1280"/>
      <c r="D41" s="1280"/>
      <c r="E41" s="475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410</v>
      </c>
      <c r="B42" s="1280" t="s">
        <v>411</v>
      </c>
      <c r="C42" s="1280"/>
      <c r="D42" s="1280"/>
      <c r="E42" s="4760"/>
      <c r="F42" s="4759">
        <v>1</v>
      </c>
      <c r="G42" s="1280"/>
      <c r="H42" s="1280"/>
      <c r="I42" s="1280"/>
      <c r="J42" s="1280"/>
      <c r="K42" s="1280"/>
      <c r="L42" s="1281"/>
      <c r="M42" s="1282"/>
      <c r="N42" s="1282"/>
      <c r="O42" s="1282"/>
      <c r="P42" s="1398"/>
      <c r="Q42" s="278"/>
      <c r="R42" s="279"/>
      <c r="S42" s="1404"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410</v>
      </c>
      <c r="B43" s="1280" t="s">
        <v>411</v>
      </c>
      <c r="C43" s="1280" t="s">
        <v>412</v>
      </c>
      <c r="D43" s="1280"/>
      <c r="E43" s="4760"/>
      <c r="F43" s="4760"/>
      <c r="G43" s="4759">
        <v>1</v>
      </c>
      <c r="H43" s="1280"/>
      <c r="I43" s="1280"/>
      <c r="J43" s="1280"/>
      <c r="K43" s="1280"/>
      <c r="L43" s="1281"/>
      <c r="M43" s="1282"/>
      <c r="N43" s="1282"/>
      <c r="O43" s="1282"/>
      <c r="P43" s="280"/>
      <c r="Q43" s="278"/>
      <c r="R43" s="279"/>
      <c r="S43" s="1404" t="str">
        <f>INDEX(PT_DIFFERENTIATION_NUM_CS,MATCH(C43,PT_DIFFERENTIATION_CS_ID,0))</f>
        <v>..</v>
      </c>
      <c r="T43" s="230" t="s">
        <v>652</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653</v>
      </c>
      <c r="AM43" s="427"/>
      <c r="AN43" s="427" t="str">
        <f t="shared" si="1"/>
        <v>Наименование централизованной системы водоотведения</v>
      </c>
      <c r="AO43" s="427"/>
      <c r="AP43" s="427"/>
    </row>
    <row r="44" spans="1:42" ht="23.25" customHeight="1">
      <c r="A44" s="1280" t="s">
        <v>410</v>
      </c>
      <c r="B44" s="1280" t="s">
        <v>411</v>
      </c>
      <c r="C44" s="1280" t="s">
        <v>412</v>
      </c>
      <c r="D44" s="1280" t="s">
        <v>662</v>
      </c>
      <c r="E44" s="4760"/>
      <c r="F44" s="4760"/>
      <c r="G44" s="4760"/>
      <c r="H44" s="4760"/>
      <c r="I44" s="4757" t="str">
        <f>S43&amp;".1"</f>
        <v>...1</v>
      </c>
      <c r="J44" s="1280"/>
      <c r="K44" s="1280"/>
      <c r="L44" s="1281"/>
      <c r="P44" s="4758">
        <v>1</v>
      </c>
      <c r="Q44" s="1392"/>
      <c r="R44" s="282"/>
      <c r="S44" s="1404"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410</v>
      </c>
      <c r="B45" s="1280" t="s">
        <v>411</v>
      </c>
      <c r="C45" s="1280" t="s">
        <v>412</v>
      </c>
      <c r="D45" s="1280" t="s">
        <v>662</v>
      </c>
      <c r="E45" s="4760"/>
      <c r="F45" s="4760"/>
      <c r="G45" s="4760"/>
      <c r="H45" s="4760"/>
      <c r="I45" s="4780"/>
      <c r="J45" s="4757" t="str">
        <f>I44&amp;".1"</f>
        <v>...1.1</v>
      </c>
      <c r="K45" s="1280"/>
      <c r="L45" s="1281" t="s">
        <v>547</v>
      </c>
      <c r="P45" s="4758"/>
      <c r="Q45" s="4758">
        <v>1</v>
      </c>
      <c r="R45" s="283"/>
      <c r="S45" s="1404"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410</v>
      </c>
      <c r="B46" s="1280" t="s">
        <v>411</v>
      </c>
      <c r="C46" s="1280" t="s">
        <v>412</v>
      </c>
      <c r="D46" s="1280" t="s">
        <v>662</v>
      </c>
      <c r="E46" s="4760"/>
      <c r="F46" s="4760"/>
      <c r="G46" s="4760"/>
      <c r="H46" s="4760"/>
      <c r="I46" s="4780"/>
      <c r="J46" s="4780"/>
      <c r="K46" s="4757" t="str">
        <f>J45&amp;".1"</f>
        <v>...1.1.1</v>
      </c>
      <c r="L46" s="1281"/>
      <c r="P46" s="4758"/>
      <c r="Q46" s="4758"/>
      <c r="R46" s="283">
        <v>1</v>
      </c>
      <c r="S46" s="1404" t="str">
        <f>$K46</f>
        <v>...1.1.1</v>
      </c>
      <c r="T46" s="1353"/>
      <c r="U46" s="219"/>
      <c r="V46" s="1277"/>
      <c r="W46" s="1277"/>
      <c r="X46" s="1278"/>
      <c r="Y46" s="4764"/>
      <c r="Z46" s="4765" t="s">
        <v>65</v>
      </c>
      <c r="AA46" s="4764"/>
      <c r="AB46" s="4765" t="s">
        <v>65</v>
      </c>
      <c r="AC46" s="669"/>
      <c r="AD46" s="669"/>
      <c r="AE46" s="1177"/>
      <c r="AF46" s="4762"/>
      <c r="AG46" s="4608" t="s">
        <v>65</v>
      </c>
      <c r="AH46" s="4781"/>
      <c r="AI46" s="4608" t="s">
        <v>55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410</v>
      </c>
      <c r="B47" s="1280" t="s">
        <v>411</v>
      </c>
      <c r="C47" s="1280" t="s">
        <v>412</v>
      </c>
      <c r="D47" s="1280" t="s">
        <v>662</v>
      </c>
      <c r="E47" s="4760"/>
      <c r="F47" s="4760"/>
      <c r="G47" s="4760"/>
      <c r="H47" s="4760"/>
      <c r="I47" s="4780"/>
      <c r="J47" s="4780"/>
      <c r="K47" s="4757"/>
      <c r="L47" s="1281"/>
      <c r="P47" s="4758"/>
      <c r="Q47" s="4758"/>
      <c r="R47" s="283"/>
      <c r="S47" s="1401"/>
      <c r="T47" s="219"/>
      <c r="U47" s="219"/>
      <c r="V47" s="1277"/>
      <c r="W47" s="1277"/>
      <c r="X47" s="255" t="str">
        <f>Y46&amp;"-"&amp;AA46</f>
        <v>-</v>
      </c>
      <c r="Y47" s="4765"/>
      <c r="Z47" s="4765"/>
      <c r="AA47" s="4765"/>
      <c r="AB47" s="4765"/>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410</v>
      </c>
      <c r="B48" s="1280" t="s">
        <v>411</v>
      </c>
      <c r="C48" s="1280" t="s">
        <v>412</v>
      </c>
      <c r="D48" s="1280" t="s">
        <v>662</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410</v>
      </c>
      <c r="B49" s="1280" t="s">
        <v>411</v>
      </c>
      <c r="C49" s="1280" t="s">
        <v>412</v>
      </c>
      <c r="D49" s="1280" t="s">
        <v>662</v>
      </c>
      <c r="E49" s="4760"/>
      <c r="F49" s="4760"/>
      <c r="G49" s="4760"/>
      <c r="H49" s="4760"/>
      <c r="I49" s="4757"/>
      <c r="J49" s="1280"/>
      <c r="K49" s="1280"/>
      <c r="L49" s="1281"/>
      <c r="P49" s="4758"/>
      <c r="Q49" s="1392"/>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410</v>
      </c>
      <c r="B50" s="1280" t="s">
        <v>411</v>
      </c>
      <c r="C50" s="1280" t="s">
        <v>412</v>
      </c>
      <c r="D50" s="1280" t="s">
        <v>662</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410</v>
      </c>
      <c r="B51" s="1261" t="s">
        <v>411</v>
      </c>
      <c r="C51" s="1233"/>
      <c r="D51" s="1233"/>
      <c r="E51" s="4760"/>
      <c r="F51" s="4759"/>
      <c r="G51" s="1233"/>
      <c r="H51" s="1233"/>
      <c r="I51" s="1233"/>
      <c r="J51" s="1233"/>
      <c r="K51" s="1233"/>
      <c r="L51" s="1405"/>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410</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5" hidden="1" customWidth="1"/>
    <col min="2" max="2" width="11" style="1835" hidden="1" customWidth="1"/>
    <col min="3" max="3" width="10.5703125" style="1835" hidden="1"/>
    <col min="4" max="4" width="12.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65" hidden="1" customWidth="1"/>
    <col min="13" max="14" width="12.28515625" style="1948" hidden="1" customWidth="1"/>
    <col min="15" max="15" width="23.42578125" style="1948" hidden="1" customWidth="1"/>
    <col min="16" max="16" width="3.7109375" style="1948" hidden="1" customWidth="1"/>
    <col min="17" max="17" width="3.7109375" style="1949" hidden="1" customWidth="1"/>
    <col min="18" max="18" width="3.7109375" style="1954" customWidth="1"/>
    <col min="19" max="19" width="12.7109375" style="1955" customWidth="1"/>
    <col min="20" max="20" width="32" style="1921" customWidth="1"/>
    <col min="21" max="21" width="0.140625" style="1921" customWidth="1"/>
    <col min="22" max="25" width="21.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2" width="3.7109375" style="1921" customWidth="1"/>
    <col min="33" max="33" width="24.7109375" style="1921" customWidth="1"/>
    <col min="34" max="36" width="3.7109375" style="1921" customWidth="1"/>
    <col min="37" max="37" width="24.7109375" style="1921" customWidth="1"/>
    <col min="38" max="40" width="3.7109375" style="1921" customWidth="1"/>
    <col min="41" max="41" width="18.85546875" style="1921" customWidth="1"/>
    <col min="42" max="44" width="3.7109375" style="1921" customWidth="1"/>
    <col min="45" max="45" width="18.85546875" style="1921" customWidth="1"/>
    <col min="46" max="49" width="21.7109375" style="1921" customWidth="1"/>
    <col min="50" max="50" width="11.7109375" style="1921" customWidth="1"/>
    <col min="51" max="51" width="3.7109375" style="1921" customWidth="1"/>
    <col min="52" max="52" width="11.7109375" style="1921" customWidth="1"/>
    <col min="53" max="53" width="8.5703125" style="1921" hidden="1" customWidth="1"/>
    <col min="54" max="54" width="4.7109375" style="1921" customWidth="1"/>
    <col min="55" max="55" width="115.7109375" style="1921"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80"/>
      <c r="B2" s="1280"/>
      <c r="C2" s="1280"/>
      <c r="D2" s="1280"/>
      <c r="E2" s="4759">
        <v>1</v>
      </c>
      <c r="F2" s="1280"/>
      <c r="G2" s="1280"/>
      <c r="H2" s="1280"/>
      <c r="I2" s="1280"/>
      <c r="J2" s="1280"/>
      <c r="K2" s="1280"/>
      <c r="L2" s="1281"/>
      <c r="M2" s="1282"/>
      <c r="N2" s="1282"/>
      <c r="O2" s="1282"/>
      <c r="P2" s="1326"/>
      <c r="Q2" s="787"/>
      <c r="R2" s="281"/>
      <c r="S2" s="1404" t="e">
        <f>INDEX(PT_DIFFERENTIATION_NUM_NTAR,MATCH(A2,PT_DIFFERENTIATION_NTAR_ID,0))</f>
        <v>#N/A</v>
      </c>
      <c r="T2" s="217" t="s">
        <v>185</v>
      </c>
      <c r="U2" s="219"/>
      <c r="V2" s="4746"/>
      <c r="W2" s="4746"/>
      <c r="X2" s="4746"/>
      <c r="Y2" s="4746"/>
      <c r="Z2" s="4746"/>
      <c r="AA2" s="4746"/>
      <c r="AB2" s="4746"/>
      <c r="AC2" s="4747"/>
      <c r="AD2" s="4745" t="e">
        <f>INDEX(PT_DIFFERENTIATION_NTAR,MATCH(A2,PT_DIFFERENTIATION_NTAR_ID,0))</f>
        <v>#N/A</v>
      </c>
      <c r="AE2" s="4746"/>
      <c r="AF2" s="4746"/>
      <c r="AG2" s="4746"/>
      <c r="AH2" s="4746"/>
      <c r="AI2" s="4746"/>
      <c r="AJ2" s="4746"/>
      <c r="AK2" s="4746"/>
      <c r="AL2" s="4746"/>
      <c r="AM2" s="4746"/>
      <c r="AN2" s="4746"/>
      <c r="AO2" s="4746"/>
      <c r="AP2" s="4746"/>
      <c r="AQ2" s="4746"/>
      <c r="AR2" s="4746"/>
      <c r="AS2" s="4746"/>
      <c r="AT2" s="4746"/>
      <c r="AU2" s="4746"/>
      <c r="AV2" s="4746"/>
      <c r="AW2" s="4746"/>
      <c r="AX2" s="4746"/>
      <c r="AY2" s="4746"/>
      <c r="AZ2" s="4746"/>
      <c r="BA2" s="4746"/>
      <c r="BB2" s="474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4760"/>
      <c r="F3" s="4759">
        <v>1</v>
      </c>
      <c r="G3" s="1280"/>
      <c r="H3" s="1280"/>
      <c r="I3" s="1280"/>
      <c r="J3" s="1280"/>
      <c r="K3" s="1280"/>
      <c r="L3" s="1281"/>
      <c r="M3" s="1282"/>
      <c r="N3" s="1282"/>
      <c r="O3" s="1282"/>
      <c r="P3" s="1327"/>
      <c r="Q3" s="1328"/>
      <c r="R3" s="279"/>
      <c r="S3" s="1404" t="e">
        <f>INDEX(PT_DIFFERENTIATION_NUM_TER,MATCH(B3,PT_DIFFERENTIATION_TER_ID,0))</f>
        <v>#N/A</v>
      </c>
      <c r="T3" s="229" t="s">
        <v>538</v>
      </c>
      <c r="U3" s="219"/>
      <c r="V3" s="4746"/>
      <c r="W3" s="4746"/>
      <c r="X3" s="4746"/>
      <c r="Y3" s="4746"/>
      <c r="Z3" s="4746"/>
      <c r="AA3" s="4746"/>
      <c r="AB3" s="4746"/>
      <c r="AC3" s="4747"/>
      <c r="AD3" s="4745" t="e">
        <f>INDEX(PT_DIFFERENTIATION_TER,MATCH(B3,PT_DIFFERENTIATION_TER_ID,0))</f>
        <v>#N/A</v>
      </c>
      <c r="AE3" s="4746"/>
      <c r="AF3" s="4746"/>
      <c r="AG3" s="4746"/>
      <c r="AH3" s="4746"/>
      <c r="AI3" s="4746"/>
      <c r="AJ3" s="4746"/>
      <c r="AK3" s="4746"/>
      <c r="AL3" s="4746"/>
      <c r="AM3" s="4746"/>
      <c r="AN3" s="4746"/>
      <c r="AO3" s="4746"/>
      <c r="AP3" s="4746"/>
      <c r="AQ3" s="4746"/>
      <c r="AR3" s="4746"/>
      <c r="AS3" s="4746"/>
      <c r="AT3" s="4746"/>
      <c r="AU3" s="4746"/>
      <c r="AV3" s="4746"/>
      <c r="AW3" s="4746"/>
      <c r="AX3" s="4746"/>
      <c r="AY3" s="4746"/>
      <c r="AZ3" s="4746"/>
      <c r="BA3" s="4746"/>
      <c r="BB3" s="4747"/>
      <c r="BC3" s="1178" t="s">
        <v>539</v>
      </c>
      <c r="BE3" s="427"/>
      <c r="BF3" s="427" t="str">
        <f t="shared" si="0"/>
        <v>Территория действия тарифа</v>
      </c>
      <c r="BG3" s="427"/>
      <c r="BH3" s="427"/>
    </row>
    <row r="4" spans="1:60" ht="33.75" hidden="1" customHeight="1">
      <c r="A4" s="1280"/>
      <c r="B4" s="1280"/>
      <c r="C4" s="1280"/>
      <c r="D4" s="1280"/>
      <c r="E4" s="4760"/>
      <c r="F4" s="4760"/>
      <c r="G4" s="4759">
        <v>1</v>
      </c>
      <c r="H4" s="1280"/>
      <c r="I4" s="1280"/>
      <c r="J4" s="1280"/>
      <c r="K4" s="1280"/>
      <c r="L4" s="1281"/>
      <c r="M4" s="1282"/>
      <c r="N4" s="1282"/>
      <c r="O4" s="1282"/>
      <c r="P4" s="1329"/>
      <c r="Q4" s="1328"/>
      <c r="R4" s="279"/>
      <c r="S4" s="1404" t="e">
        <f>INDEX(PT_DIFFERENTIATION_NUM_CS,MATCH(C4,PT_DIFFERENTIATION_CS_ID,0))</f>
        <v>#N/A</v>
      </c>
      <c r="T4" s="230" t="s">
        <v>652</v>
      </c>
      <c r="U4" s="219"/>
      <c r="V4" s="4746"/>
      <c r="W4" s="4746"/>
      <c r="X4" s="4746"/>
      <c r="Y4" s="4746"/>
      <c r="Z4" s="4746"/>
      <c r="AA4" s="4746"/>
      <c r="AB4" s="4746"/>
      <c r="AC4" s="4747"/>
      <c r="AD4" s="4745" t="e">
        <f>INDEX(PT_DIFFERENTIATION_CS,MATCH(C4,PT_DIFFERENTIATION_CS_ID,0))</f>
        <v>#N/A</v>
      </c>
      <c r="AE4" s="4746"/>
      <c r="AF4" s="4746"/>
      <c r="AG4" s="4746"/>
      <c r="AH4" s="4746"/>
      <c r="AI4" s="4746"/>
      <c r="AJ4" s="4746"/>
      <c r="AK4" s="4746"/>
      <c r="AL4" s="4746"/>
      <c r="AM4" s="4746"/>
      <c r="AN4" s="4746"/>
      <c r="AO4" s="4746"/>
      <c r="AP4" s="4746"/>
      <c r="AQ4" s="4746"/>
      <c r="AR4" s="4746"/>
      <c r="AS4" s="4746"/>
      <c r="AT4" s="4746"/>
      <c r="AU4" s="4746"/>
      <c r="AV4" s="4746"/>
      <c r="AW4" s="4746"/>
      <c r="AX4" s="4746"/>
      <c r="AY4" s="4746"/>
      <c r="AZ4" s="4746"/>
      <c r="BA4" s="4746"/>
      <c r="BB4" s="4747"/>
      <c r="BC4" s="1178" t="s">
        <v>653</v>
      </c>
      <c r="BE4" s="427"/>
      <c r="BF4" s="427" t="str">
        <f t="shared" si="0"/>
        <v>Наименование централизованной системы водоотведения</v>
      </c>
      <c r="BG4" s="427"/>
      <c r="BH4" s="427"/>
    </row>
    <row r="5" spans="1:60" s="1821" customFormat="1" ht="14.25" hidden="1" customHeight="1">
      <c r="A5" s="1261"/>
      <c r="B5" s="1261"/>
      <c r="C5" s="1261"/>
      <c r="D5" s="1261"/>
      <c r="E5" s="4760"/>
      <c r="F5" s="4760"/>
      <c r="G5" s="4760"/>
      <c r="H5" s="4759">
        <v>1</v>
      </c>
      <c r="I5" s="1261"/>
      <c r="J5" s="1261"/>
      <c r="K5" s="1261"/>
      <c r="L5" s="1264"/>
      <c r="M5" s="1234"/>
      <c r="N5" s="1234"/>
      <c r="O5" s="1234"/>
      <c r="P5" s="1408"/>
      <c r="Q5" s="1409"/>
      <c r="R5" s="283"/>
      <c r="S5" s="950"/>
      <c r="T5" s="1410"/>
      <c r="U5" s="1301"/>
      <c r="V5" s="4787"/>
      <c r="W5" s="4787"/>
      <c r="X5" s="4787"/>
      <c r="Y5" s="4787"/>
      <c r="Z5" s="4787"/>
      <c r="AA5" s="4787"/>
      <c r="AB5" s="4787"/>
      <c r="AC5" s="4788"/>
      <c r="AD5" s="4786"/>
      <c r="AE5" s="4787"/>
      <c r="AF5" s="4787"/>
      <c r="AG5" s="4787"/>
      <c r="AH5" s="4787"/>
      <c r="AI5" s="4787"/>
      <c r="AJ5" s="4787"/>
      <c r="AK5" s="4787"/>
      <c r="AL5" s="4787"/>
      <c r="AM5" s="4787"/>
      <c r="AN5" s="4787"/>
      <c r="AO5" s="4787"/>
      <c r="AP5" s="4787"/>
      <c r="AQ5" s="4787"/>
      <c r="AR5" s="4787"/>
      <c r="AS5" s="4787"/>
      <c r="AT5" s="4787"/>
      <c r="AU5" s="4787"/>
      <c r="AV5" s="4787"/>
      <c r="AW5" s="4787"/>
      <c r="AX5" s="4787"/>
      <c r="AY5" s="4787"/>
      <c r="AZ5" s="4787"/>
      <c r="BA5" s="4787"/>
      <c r="BB5" s="4788"/>
      <c r="BC5" s="1302" t="s">
        <v>543</v>
      </c>
      <c r="BE5" s="427"/>
      <c r="BF5" s="427" t="str">
        <f t="shared" si="0"/>
        <v/>
      </c>
      <c r="BG5" s="427"/>
      <c r="BH5" s="427"/>
    </row>
    <row r="6" spans="1:60" s="1821" customFormat="1" ht="14.25" hidden="1" customHeight="1">
      <c r="A6" s="1261"/>
      <c r="B6" s="1261"/>
      <c r="C6" s="1261"/>
      <c r="D6" s="1261"/>
      <c r="E6" s="4760"/>
      <c r="F6" s="4760"/>
      <c r="G6" s="4760"/>
      <c r="H6" s="4760"/>
      <c r="I6" s="4757" t="str">
        <f>S5&amp;".1"</f>
        <v>.1</v>
      </c>
      <c r="J6" s="1261"/>
      <c r="K6" s="1261"/>
      <c r="L6" s="1264" t="s">
        <v>544</v>
      </c>
      <c r="M6" s="437"/>
      <c r="N6" s="437"/>
      <c r="O6" s="437"/>
      <c r="P6" s="4758">
        <v>1</v>
      </c>
      <c r="Q6" s="1392"/>
      <c r="R6" s="282"/>
      <c r="S6" s="950"/>
      <c r="T6" s="1300"/>
      <c r="U6" s="1301"/>
      <c r="V6" s="4787"/>
      <c r="W6" s="4787"/>
      <c r="X6" s="4787"/>
      <c r="Y6" s="4787"/>
      <c r="Z6" s="4787"/>
      <c r="AA6" s="4787"/>
      <c r="AB6" s="4787"/>
      <c r="AC6" s="4788"/>
      <c r="AD6" s="4786"/>
      <c r="AE6" s="4787"/>
      <c r="AF6" s="4787"/>
      <c r="AG6" s="4787"/>
      <c r="AH6" s="4787"/>
      <c r="AI6" s="4787"/>
      <c r="AJ6" s="4787"/>
      <c r="AK6" s="4787"/>
      <c r="AL6" s="4787"/>
      <c r="AM6" s="4787"/>
      <c r="AN6" s="4787"/>
      <c r="AO6" s="4787"/>
      <c r="AP6" s="4787"/>
      <c r="AQ6" s="4787"/>
      <c r="AR6" s="4787"/>
      <c r="AS6" s="4787"/>
      <c r="AT6" s="4787"/>
      <c r="AU6" s="4787"/>
      <c r="AV6" s="4787"/>
      <c r="AW6" s="4787"/>
      <c r="AX6" s="4787"/>
      <c r="AY6" s="4787"/>
      <c r="AZ6" s="4787"/>
      <c r="BA6" s="4787"/>
      <c r="BB6" s="4788"/>
      <c r="BC6" s="1302"/>
      <c r="BE6" s="427"/>
      <c r="BF6" s="427" t="str">
        <f t="shared" si="0"/>
        <v/>
      </c>
      <c r="BG6" s="427"/>
      <c r="BH6" s="427"/>
    </row>
    <row r="7" spans="1:60" s="1821" customFormat="1" ht="14.25" hidden="1" customHeight="1">
      <c r="A7" s="1261"/>
      <c r="B7" s="1261"/>
      <c r="C7" s="1261"/>
      <c r="D7" s="1261"/>
      <c r="E7" s="4760"/>
      <c r="F7" s="4760"/>
      <c r="G7" s="4760"/>
      <c r="H7" s="4760"/>
      <c r="I7" s="4780"/>
      <c r="J7" s="4757" t="str">
        <f>S5&amp;".1"</f>
        <v>.1</v>
      </c>
      <c r="K7" s="1261"/>
      <c r="L7" s="1264"/>
      <c r="M7" s="437"/>
      <c r="N7" s="437"/>
      <c r="O7" s="437"/>
      <c r="P7" s="4758"/>
      <c r="Q7" s="4758">
        <v>1</v>
      </c>
      <c r="R7" s="283"/>
      <c r="S7" s="950"/>
      <c r="T7" s="1316"/>
      <c r="U7" s="1301"/>
      <c r="V7" s="4787"/>
      <c r="W7" s="4787"/>
      <c r="X7" s="4787"/>
      <c r="Y7" s="4787"/>
      <c r="Z7" s="4787"/>
      <c r="AA7" s="4787"/>
      <c r="AB7" s="4787"/>
      <c r="AC7" s="4788"/>
      <c r="AD7" s="4786"/>
      <c r="AE7" s="4787"/>
      <c r="AF7" s="4787"/>
      <c r="AG7" s="4787"/>
      <c r="AH7" s="4787"/>
      <c r="AI7" s="4787"/>
      <c r="AJ7" s="4787"/>
      <c r="AK7" s="4787"/>
      <c r="AL7" s="4787"/>
      <c r="AM7" s="4787"/>
      <c r="AN7" s="4787"/>
      <c r="AO7" s="4787"/>
      <c r="AP7" s="4787"/>
      <c r="AQ7" s="4787"/>
      <c r="AR7" s="4787"/>
      <c r="AS7" s="4787"/>
      <c r="AT7" s="4787"/>
      <c r="AU7" s="4787"/>
      <c r="AV7" s="4787"/>
      <c r="AW7" s="4787"/>
      <c r="AX7" s="4787"/>
      <c r="AY7" s="4787"/>
      <c r="AZ7" s="4787"/>
      <c r="BA7" s="4787"/>
      <c r="BB7" s="4788"/>
      <c r="BC7" s="1302"/>
      <c r="BE7" s="427"/>
      <c r="BF7" s="427" t="str">
        <f t="shared" si="0"/>
        <v/>
      </c>
      <c r="BG7" s="427"/>
      <c r="BH7" s="427"/>
    </row>
    <row r="8" spans="1:60" ht="11.25" hidden="1" customHeight="1">
      <c r="A8" s="1280"/>
      <c r="B8" s="1280"/>
      <c r="C8" s="1280"/>
      <c r="D8" s="1280"/>
      <c r="E8" s="4760"/>
      <c r="F8" s="4760"/>
      <c r="G8" s="4760"/>
      <c r="H8" s="4760"/>
      <c r="I8" s="4780"/>
      <c r="J8" s="4780"/>
      <c r="K8" s="4757" t="e">
        <f>S4&amp;".1"</f>
        <v>#N/A</v>
      </c>
      <c r="L8" s="1281"/>
      <c r="P8" s="4758"/>
      <c r="Q8" s="4758"/>
      <c r="R8" s="4815">
        <v>1</v>
      </c>
      <c r="S8" s="4809" t="e">
        <f>$K8</f>
        <v>#N/A</v>
      </c>
      <c r="T8" s="4827"/>
      <c r="U8" s="219"/>
      <c r="V8" s="669"/>
      <c r="W8" s="1177"/>
      <c r="X8" s="669"/>
      <c r="Y8" s="1177"/>
      <c r="Z8" s="1645"/>
      <c r="AA8" s="1381" t="s">
        <v>65</v>
      </c>
      <c r="AB8" s="1645"/>
      <c r="AC8" s="1381" t="s">
        <v>65</v>
      </c>
      <c r="AD8" s="4684" t="s">
        <v>65</v>
      </c>
      <c r="AE8" s="4795"/>
      <c r="AF8" s="4714">
        <v>1</v>
      </c>
      <c r="AG8" s="4831"/>
      <c r="AH8" s="4608" t="s">
        <v>65</v>
      </c>
      <c r="AI8" s="4795"/>
      <c r="AJ8" s="4714">
        <v>1</v>
      </c>
      <c r="AK8" s="4830" t="s">
        <v>24</v>
      </c>
      <c r="AL8" s="4608" t="s">
        <v>65</v>
      </c>
      <c r="AM8" s="4704"/>
      <c r="AN8" s="4714">
        <v>1</v>
      </c>
      <c r="AO8" s="4824"/>
      <c r="AP8" s="4825" t="s">
        <v>65</v>
      </c>
      <c r="AQ8" s="232"/>
      <c r="AR8" s="1397">
        <v>1</v>
      </c>
      <c r="AS8" s="1403" t="s">
        <v>24</v>
      </c>
      <c r="AT8" s="669"/>
      <c r="AU8" s="1177"/>
      <c r="AV8" s="669"/>
      <c r="AW8" s="1177"/>
      <c r="AX8" s="1645"/>
      <c r="AY8" s="1381" t="s">
        <v>65</v>
      </c>
      <c r="AZ8" s="1645"/>
      <c r="BA8" s="1381" t="s">
        <v>65</v>
      </c>
      <c r="BB8" s="1266"/>
      <c r="BC8" s="4754" t="s">
        <v>637</v>
      </c>
      <c r="BE8" s="427"/>
      <c r="BF8" s="427" t="str">
        <f t="shared" si="0"/>
        <v/>
      </c>
      <c r="BG8" s="427"/>
      <c r="BH8" s="427"/>
    </row>
    <row r="9" spans="1:60" ht="11.25" hidden="1" customHeight="1">
      <c r="A9" s="1280"/>
      <c r="B9" s="1280"/>
      <c r="C9" s="1280"/>
      <c r="D9" s="1280"/>
      <c r="E9" s="4760"/>
      <c r="F9" s="4760"/>
      <c r="G9" s="4760"/>
      <c r="H9" s="4760"/>
      <c r="I9" s="4780"/>
      <c r="J9" s="4780"/>
      <c r="K9" s="4757"/>
      <c r="L9" s="1281"/>
      <c r="P9" s="4758"/>
      <c r="Q9" s="4758"/>
      <c r="R9" s="4815"/>
      <c r="S9" s="4810"/>
      <c r="T9" s="4828"/>
      <c r="U9" s="219"/>
      <c r="V9" s="1310"/>
      <c r="W9" s="1407"/>
      <c r="X9" s="1310"/>
      <c r="Y9" s="1407"/>
      <c r="Z9" s="1310"/>
      <c r="AA9" s="1310"/>
      <c r="AB9" s="1310"/>
      <c r="AC9" s="1310"/>
      <c r="AD9" s="4685"/>
      <c r="AE9" s="4795"/>
      <c r="AF9" s="4714"/>
      <c r="AG9" s="4831"/>
      <c r="AH9" s="4608"/>
      <c r="AI9" s="4795"/>
      <c r="AJ9" s="4714"/>
      <c r="AK9" s="4830"/>
      <c r="AL9" s="4608"/>
      <c r="AM9" s="4709"/>
      <c r="AN9" s="4714"/>
      <c r="AO9" s="4824"/>
      <c r="AP9" s="4826"/>
      <c r="AQ9" s="239"/>
      <c r="AR9" s="351"/>
      <c r="AS9" s="351" t="s">
        <v>638</v>
      </c>
      <c r="AT9" s="1310"/>
      <c r="AU9" s="1407"/>
      <c r="AV9" s="1310"/>
      <c r="AW9" s="1407"/>
      <c r="AX9" s="1310"/>
      <c r="AY9" s="1310"/>
      <c r="AZ9" s="1310"/>
      <c r="BA9" s="1310"/>
      <c r="BB9" s="1314"/>
      <c r="BC9" s="4755"/>
      <c r="BE9" s="427"/>
      <c r="BF9" s="427"/>
      <c r="BG9" s="427"/>
      <c r="BH9" s="427"/>
    </row>
    <row r="10" spans="1:60" ht="11.25" hidden="1" customHeight="1">
      <c r="A10" s="1280"/>
      <c r="B10" s="1280"/>
      <c r="C10" s="1280"/>
      <c r="D10" s="1280"/>
      <c r="E10" s="4760"/>
      <c r="F10" s="4760"/>
      <c r="G10" s="4760"/>
      <c r="H10" s="4760"/>
      <c r="I10" s="4780"/>
      <c r="J10" s="4780"/>
      <c r="K10" s="4757"/>
      <c r="L10" s="1281"/>
      <c r="P10" s="4758"/>
      <c r="Q10" s="4758"/>
      <c r="R10" s="4815"/>
      <c r="S10" s="4810"/>
      <c r="T10" s="4828"/>
      <c r="U10" s="219"/>
      <c r="V10" s="1310"/>
      <c r="W10" s="1407"/>
      <c r="X10" s="1310"/>
      <c r="Y10" s="1407"/>
      <c r="Z10" s="1310"/>
      <c r="AA10" s="1310"/>
      <c r="AB10" s="1310"/>
      <c r="AC10" s="1310"/>
      <c r="AD10" s="4685"/>
      <c r="AE10" s="4795"/>
      <c r="AF10" s="4714"/>
      <c r="AG10" s="4831"/>
      <c r="AH10" s="4608"/>
      <c r="AI10" s="4795"/>
      <c r="AJ10" s="4714"/>
      <c r="AK10" s="4830"/>
      <c r="AL10" s="4608"/>
      <c r="AM10" s="239"/>
      <c r="AN10" s="1411"/>
      <c r="AO10" s="1411" t="s">
        <v>663</v>
      </c>
      <c r="AP10" s="351"/>
      <c r="AQ10" s="351"/>
      <c r="AR10" s="351"/>
      <c r="AS10" s="1310"/>
      <c r="AT10" s="1310"/>
      <c r="AU10" s="1407"/>
      <c r="AV10" s="1310"/>
      <c r="AW10" s="1407"/>
      <c r="AX10" s="1310"/>
      <c r="AY10" s="1310"/>
      <c r="AZ10" s="1310"/>
      <c r="BA10" s="1310"/>
      <c r="BB10" s="1314"/>
      <c r="BC10" s="4755"/>
      <c r="BE10" s="427"/>
      <c r="BF10" s="427"/>
      <c r="BG10" s="427"/>
      <c r="BH10" s="427"/>
    </row>
    <row r="11" spans="1:60" ht="11.25" hidden="1" customHeight="1">
      <c r="A11" s="1280"/>
      <c r="B11" s="1280"/>
      <c r="C11" s="1280"/>
      <c r="D11" s="1280"/>
      <c r="E11" s="4760"/>
      <c r="F11" s="4760"/>
      <c r="G11" s="4760"/>
      <c r="H11" s="4760"/>
      <c r="I11" s="4780"/>
      <c r="J11" s="4780"/>
      <c r="K11" s="4757"/>
      <c r="L11" s="1281"/>
      <c r="P11" s="4758"/>
      <c r="Q11" s="4758"/>
      <c r="R11" s="4815"/>
      <c r="S11" s="4810"/>
      <c r="T11" s="4828"/>
      <c r="U11" s="219"/>
      <c r="V11" s="1310"/>
      <c r="W11" s="1407"/>
      <c r="X11" s="1310"/>
      <c r="Y11" s="1407"/>
      <c r="Z11" s="1310"/>
      <c r="AA11" s="1310"/>
      <c r="AB11" s="1310"/>
      <c r="AC11" s="1310"/>
      <c r="AD11" s="4685"/>
      <c r="AE11" s="4795"/>
      <c r="AF11" s="4714"/>
      <c r="AG11" s="4831"/>
      <c r="AH11" s="4608"/>
      <c r="AI11" s="213"/>
      <c r="AJ11" s="350"/>
      <c r="AK11" s="234" t="s">
        <v>664</v>
      </c>
      <c r="AL11" s="1310"/>
      <c r="AM11" s="1310"/>
      <c r="AN11" s="1310"/>
      <c r="AO11" s="1310"/>
      <c r="AP11" s="1310"/>
      <c r="AQ11" s="1310"/>
      <c r="AR11" s="1310"/>
      <c r="AS11" s="1310"/>
      <c r="AT11" s="1310"/>
      <c r="AU11" s="1407"/>
      <c r="AV11" s="1310"/>
      <c r="AW11" s="1407"/>
      <c r="AX11" s="1310"/>
      <c r="AY11" s="1310"/>
      <c r="AZ11" s="1310"/>
      <c r="BA11" s="1310"/>
      <c r="BB11" s="1314"/>
      <c r="BC11" s="4755"/>
      <c r="BE11" s="427"/>
      <c r="BF11" s="427"/>
      <c r="BG11" s="427"/>
      <c r="BH11" s="427"/>
    </row>
    <row r="12" spans="1:60" ht="11.25" hidden="1" customHeight="1">
      <c r="A12" s="1280"/>
      <c r="B12" s="1280"/>
      <c r="C12" s="1280"/>
      <c r="D12" s="1280"/>
      <c r="E12" s="4760"/>
      <c r="F12" s="4760"/>
      <c r="G12" s="4760"/>
      <c r="H12" s="4760"/>
      <c r="I12" s="4780"/>
      <c r="J12" s="4780"/>
      <c r="K12" s="4757"/>
      <c r="L12" s="1281"/>
      <c r="P12" s="4758"/>
      <c r="Q12" s="4758"/>
      <c r="R12" s="4815"/>
      <c r="S12" s="4811"/>
      <c r="T12" s="4829"/>
      <c r="U12" s="219"/>
      <c r="V12" s="1310"/>
      <c r="W12" s="1311" t="str">
        <f>Z8&amp;"-"&amp;AB8</f>
        <v>-</v>
      </c>
      <c r="X12" s="1310"/>
      <c r="Y12" s="1311" t="str">
        <f>AB8&amp;"-"&amp;AD8</f>
        <v>-да</v>
      </c>
      <c r="Z12" s="1310"/>
      <c r="AA12" s="1310"/>
      <c r="AB12" s="1310"/>
      <c r="AC12" s="1310"/>
      <c r="AD12" s="4613"/>
      <c r="AE12" s="233"/>
      <c r="AF12" s="235"/>
      <c r="AG12" s="351" t="s">
        <v>641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4755"/>
      <c r="BE12" s="427"/>
      <c r="BF12" s="427" t="str">
        <f t="shared" ref="BF12:BF18" si="1">IF(T12="","",T12)</f>
        <v/>
      </c>
      <c r="BG12" s="427"/>
      <c r="BH12" s="427"/>
    </row>
    <row r="13" spans="1:60" ht="11.25" hidden="1" customHeight="1">
      <c r="A13" s="1280"/>
      <c r="B13" s="1280"/>
      <c r="C13" s="1280"/>
      <c r="D13" s="1280"/>
      <c r="E13" s="4760"/>
      <c r="F13" s="4760"/>
      <c r="G13" s="4760"/>
      <c r="H13" s="4760"/>
      <c r="I13" s="4780"/>
      <c r="J13" s="4757"/>
      <c r="K13" s="1280"/>
      <c r="L13" s="1281"/>
      <c r="P13" s="4758"/>
      <c r="Q13" s="4758"/>
      <c r="R13" s="282"/>
      <c r="S13" s="1199"/>
      <c r="T13" s="206" t="s">
        <v>605</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4756"/>
      <c r="BE13" s="427"/>
      <c r="BF13" s="427" t="str">
        <f t="shared" si="1"/>
        <v>Добавить строку</v>
      </c>
      <c r="BG13" s="427"/>
      <c r="BH13" s="427"/>
    </row>
    <row r="14" spans="1:60" s="1821" customFormat="1" ht="14.25" hidden="1" customHeight="1">
      <c r="A14" s="1261"/>
      <c r="B14" s="1261"/>
      <c r="C14" s="1261"/>
      <c r="D14" s="1261"/>
      <c r="E14" s="4760"/>
      <c r="F14" s="4760"/>
      <c r="G14" s="4760"/>
      <c r="H14" s="4760"/>
      <c r="I14" s="4757"/>
      <c r="J14" s="1261"/>
      <c r="K14" s="1261"/>
      <c r="L14" s="1264"/>
      <c r="M14" s="437"/>
      <c r="N14" s="437"/>
      <c r="O14" s="437"/>
      <c r="P14" s="475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1" customFormat="1" ht="14.25" hidden="1" customHeight="1">
      <c r="A15" s="1261"/>
      <c r="B15" s="1261"/>
      <c r="C15" s="1261"/>
      <c r="D15" s="1261"/>
      <c r="E15" s="4760"/>
      <c r="F15" s="4760"/>
      <c r="G15" s="4760"/>
      <c r="H15" s="475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46" customFormat="1" ht="14.25" hidden="1" customHeight="1">
      <c r="A16" s="1261"/>
      <c r="B16" s="1261"/>
      <c r="C16" s="1261"/>
      <c r="D16" s="1233"/>
      <c r="E16" s="4760"/>
      <c r="F16" s="4760"/>
      <c r="G16" s="4759"/>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46" customFormat="1" ht="14.25" hidden="1" customHeight="1">
      <c r="A17" s="1261"/>
      <c r="B17" s="1261"/>
      <c r="C17" s="1233"/>
      <c r="D17" s="1233"/>
      <c r="E17" s="4760"/>
      <c r="F17" s="4759"/>
      <c r="G17" s="1233"/>
      <c r="H17" s="1233"/>
      <c r="I17" s="1233"/>
      <c r="J17" s="1233"/>
      <c r="K17" s="1233"/>
      <c r="L17" s="1405"/>
      <c r="M17" s="1240"/>
      <c r="N17" s="1240"/>
      <c r="P17" s="1235"/>
      <c r="Q17" s="1236"/>
      <c r="R17" s="1235"/>
      <c r="S17" s="1241"/>
      <c r="T17" s="1244" t="s">
        <v>316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1" customFormat="1" ht="14.25" hidden="1" customHeight="1">
      <c r="A18" s="1261"/>
      <c r="B18" s="1261"/>
      <c r="C18" s="1261"/>
      <c r="D18" s="1261"/>
      <c r="E18" s="4759"/>
      <c r="F18" s="1261"/>
      <c r="G18" s="1261"/>
      <c r="H18" s="1261"/>
      <c r="I18" s="1261"/>
      <c r="J18" s="1261"/>
      <c r="K18" s="1261"/>
      <c r="L18" s="1264"/>
      <c r="M18" s="1240"/>
      <c r="N18" s="1240"/>
      <c r="O18" s="445"/>
      <c r="P18" s="314"/>
      <c r="Q18" s="1262"/>
      <c r="R18" s="314"/>
      <c r="S18" s="1241"/>
      <c r="T18" s="1244" t="s">
        <v>317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65</v>
      </c>
      <c r="AZ20" s="1647"/>
      <c r="BA20" s="1396" t="s">
        <v>65</v>
      </c>
    </row>
    <row r="21" spans="1:60" ht="14.25" hidden="1" customHeight="1">
      <c r="BD21" s="423"/>
      <c r="BE21" s="423"/>
      <c r="BF21" s="423"/>
      <c r="BG21" s="423"/>
      <c r="BH21" s="423"/>
    </row>
    <row r="22" spans="1:60" ht="14.25" hidden="1" customHeight="1">
      <c r="O22" s="1284" t="s">
        <v>556</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59" customFormat="1" ht="14.25" hidden="1" customHeight="1">
      <c r="M24" s="1419"/>
      <c r="N24" s="1419"/>
      <c r="O24" s="1420" t="s">
        <v>557</v>
      </c>
      <c r="P24" s="1419"/>
      <c r="Q24" s="1421"/>
      <c r="R24" s="1421"/>
      <c r="AA24" s="1418" t="s">
        <v>559</v>
      </c>
      <c r="AC24" s="1418" t="s">
        <v>560</v>
      </c>
      <c r="AD24" s="1418" t="s">
        <v>606</v>
      </c>
      <c r="AH24" s="1418" t="s">
        <v>606</v>
      </c>
      <c r="AK24" s="1418" t="s">
        <v>642</v>
      </c>
      <c r="AL24" s="1418" t="s">
        <v>606</v>
      </c>
      <c r="AP24" s="1418" t="s">
        <v>606</v>
      </c>
      <c r="AY24" s="1418" t="s">
        <v>559</v>
      </c>
      <c r="BA24" s="1418" t="s">
        <v>560</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474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4743"/>
      <c r="U28" s="4743"/>
      <c r="V28" s="4743"/>
      <c r="W28" s="4743"/>
      <c r="X28" s="4743"/>
      <c r="Y28" s="4743"/>
      <c r="Z28" s="4743"/>
      <c r="AA28" s="4743"/>
      <c r="AB28" s="4743"/>
      <c r="AC28" s="4743"/>
      <c r="AD28" s="4743"/>
      <c r="AE28" s="4743"/>
      <c r="AF28" s="4743"/>
      <c r="AG28" s="4743"/>
      <c r="AH28" s="4743"/>
      <c r="AI28" s="4743"/>
      <c r="AJ28" s="4743"/>
      <c r="AK28" s="4743"/>
      <c r="AL28" s="4743"/>
      <c r="AM28" s="4743"/>
      <c r="AN28" s="4743"/>
      <c r="AO28" s="4743"/>
      <c r="AP28" s="4743"/>
      <c r="AQ28" s="4743"/>
      <c r="AR28" s="4743"/>
      <c r="AS28" s="4743"/>
      <c r="AT28" s="4743"/>
      <c r="AU28" s="4743"/>
      <c r="AV28" s="4743"/>
      <c r="AW28" s="4743"/>
      <c r="AX28" s="4743"/>
      <c r="AY28" s="4743"/>
      <c r="AZ28" s="4743"/>
      <c r="BA28" s="1153"/>
    </row>
    <row r="29" spans="1:60" ht="14.25" customHeight="1">
      <c r="Q29" s="210"/>
      <c r="R29" s="306"/>
      <c r="S29" s="4690" t="str">
        <f>IF(org=0,"Не определено",org)</f>
        <v>ОГКП "Ульяновский областной водоканал"</v>
      </c>
      <c r="T29" s="4690"/>
      <c r="U29" s="4690"/>
      <c r="V29" s="4690"/>
      <c r="W29" s="4690"/>
      <c r="X29" s="4690"/>
      <c r="Y29" s="4690"/>
      <c r="Z29" s="4690"/>
      <c r="AA29" s="4690"/>
      <c r="AB29" s="4690"/>
      <c r="AC29" s="4690"/>
      <c r="AD29" s="4690"/>
      <c r="AE29" s="4690"/>
      <c r="AF29" s="4690"/>
      <c r="AG29" s="4690"/>
      <c r="AH29" s="4690"/>
      <c r="AI29" s="4690"/>
      <c r="AJ29" s="4690"/>
      <c r="AK29" s="4690"/>
      <c r="AL29" s="4690"/>
      <c r="AM29" s="4690"/>
      <c r="AN29" s="4690"/>
      <c r="AO29" s="4690"/>
      <c r="AP29" s="4690"/>
      <c r="AQ29" s="4690"/>
      <c r="AR29" s="4690"/>
      <c r="AS29" s="4690"/>
      <c r="AT29" s="4690"/>
      <c r="AU29" s="4690"/>
      <c r="AV29" s="4690"/>
      <c r="AW29" s="4690"/>
      <c r="AX29" s="4690"/>
      <c r="AY29" s="4690"/>
      <c r="AZ29" s="4690"/>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51" customFormat="1" ht="25.5" customHeight="1">
      <c r="A31" s="1285"/>
      <c r="B31" s="1285"/>
      <c r="C31" s="1285"/>
      <c r="D31" s="1285"/>
      <c r="E31" s="1285"/>
      <c r="F31" s="1285"/>
      <c r="G31" s="1285"/>
      <c r="H31" s="1285"/>
      <c r="I31" s="1285"/>
      <c r="J31" s="1285"/>
      <c r="K31" s="1285"/>
      <c r="L31" s="1286"/>
      <c r="M31" s="1285"/>
      <c r="N31" s="1285"/>
      <c r="O31" s="1285"/>
      <c r="P31" s="1285"/>
      <c r="Q31" s="1285"/>
      <c r="S31" s="4751" t="s">
        <v>38</v>
      </c>
      <c r="T31" s="4751"/>
      <c r="U31" s="1289"/>
      <c r="V31" s="4752" t="str">
        <f>IF(TITLE_NAME_OR_PR_CHANGE="",IF(TITLE_NAME_OR_PR="","",TITLE_NAME_OR_PR),TITLE_NAME_OR_PR_CHANGE)</f>
        <v>Агентство по регулированию цен и тарифов Ульяновской области</v>
      </c>
      <c r="W31" s="4752"/>
      <c r="X31" s="4752"/>
      <c r="Y31" s="4752"/>
      <c r="Z31" s="4752"/>
      <c r="AA31" s="4752"/>
      <c r="AB31" s="4752"/>
      <c r="AC31" s="253"/>
      <c r="AD31" s="4752" t="str">
        <f>IF(TITLE_NAME_OR_PR_CHANGE="",IF(TITLE_NAME_OR_PR="","",TITLE_NAME_OR_PR),TITLE_NAME_OR_PR_CHANGE)</f>
        <v>Агентство по регулированию цен и тарифов Ульяновской области</v>
      </c>
      <c r="AE31" s="4752"/>
      <c r="AF31" s="4752"/>
      <c r="AG31" s="4752"/>
      <c r="AH31" s="4752"/>
      <c r="AI31" s="4752"/>
      <c r="AJ31" s="4752"/>
      <c r="AK31" s="4752"/>
      <c r="AL31" s="4752"/>
      <c r="AM31" s="4752"/>
      <c r="AN31" s="4752"/>
      <c r="AO31" s="4752"/>
      <c r="AP31" s="4752"/>
      <c r="AQ31" s="4752"/>
      <c r="AR31" s="4752"/>
      <c r="AS31" s="4752"/>
      <c r="AT31" s="4752"/>
      <c r="AU31" s="4752"/>
      <c r="AV31" s="4752"/>
      <c r="AW31" s="4752"/>
      <c r="AX31" s="4752"/>
      <c r="AY31" s="4752"/>
      <c r="AZ31" s="4752"/>
      <c r="BA31" s="253"/>
      <c r="BB31" s="253"/>
      <c r="BC31" s="200"/>
      <c r="BD31" s="297"/>
      <c r="BE31" s="297"/>
      <c r="BF31" s="297"/>
      <c r="BG31" s="297"/>
      <c r="BH31" s="297"/>
    </row>
    <row r="32" spans="1:60" s="1951" customFormat="1" ht="18.75" customHeight="1">
      <c r="A32" s="1285"/>
      <c r="B32" s="1285"/>
      <c r="C32" s="1285"/>
      <c r="D32" s="1285"/>
      <c r="E32" s="1285"/>
      <c r="F32" s="1285"/>
      <c r="G32" s="1285"/>
      <c r="H32" s="1285"/>
      <c r="I32" s="1285"/>
      <c r="J32" s="1285"/>
      <c r="K32" s="1285"/>
      <c r="L32" s="1286"/>
      <c r="M32" s="1285"/>
      <c r="N32" s="1285"/>
      <c r="O32" s="1285"/>
      <c r="P32" s="1285"/>
      <c r="Q32" s="1285"/>
      <c r="S32" s="4751" t="s">
        <v>562</v>
      </c>
      <c r="T32" s="4751"/>
      <c r="U32" s="1289"/>
      <c r="V32" s="4761">
        <f>IF(TITLE_DATE_PR_CHANGE="",IF(TITLE_DATE_PR="","",TITLE_DATE_PR),TITLE_DATE_PR_CHANGE)</f>
        <v>45279.639965277776</v>
      </c>
      <c r="W32" s="4761"/>
      <c r="X32" s="4761"/>
      <c r="Y32" s="4761"/>
      <c r="Z32" s="4761"/>
      <c r="AA32" s="4761"/>
      <c r="AB32" s="4761"/>
      <c r="AC32" s="253"/>
      <c r="AD32" s="4761">
        <f>IF(TITLE_DATE_PR_CHANGE="",IF(TITLE_DATE_PR="","",TITLE_DATE_PR),TITLE_DATE_PR_CHANGE)</f>
        <v>45279.639965277776</v>
      </c>
      <c r="AE32" s="4761"/>
      <c r="AF32" s="4761"/>
      <c r="AG32" s="4761"/>
      <c r="AH32" s="4761"/>
      <c r="AI32" s="4761"/>
      <c r="AJ32" s="4761"/>
      <c r="AK32" s="4761"/>
      <c r="AL32" s="4761"/>
      <c r="AM32" s="4761"/>
      <c r="AN32" s="4761"/>
      <c r="AO32" s="4761"/>
      <c r="AP32" s="4761"/>
      <c r="AQ32" s="4761"/>
      <c r="AR32" s="4761"/>
      <c r="AS32" s="4761"/>
      <c r="AT32" s="4761"/>
      <c r="AU32" s="4761"/>
      <c r="AV32" s="4761"/>
      <c r="AW32" s="4761"/>
      <c r="AX32" s="4761"/>
      <c r="AY32" s="4761"/>
      <c r="AZ32" s="4761"/>
      <c r="BA32" s="253"/>
      <c r="BB32" s="253"/>
      <c r="BC32" s="200"/>
      <c r="BD32" s="297"/>
      <c r="BE32" s="297"/>
      <c r="BF32" s="297"/>
      <c r="BG32" s="297"/>
      <c r="BH32" s="297"/>
    </row>
    <row r="33" spans="1:60" s="1951" customFormat="1" ht="18.75" customHeight="1">
      <c r="A33" s="1285"/>
      <c r="B33" s="1285"/>
      <c r="C33" s="1285"/>
      <c r="D33" s="1285"/>
      <c r="E33" s="1285"/>
      <c r="F33" s="1285"/>
      <c r="G33" s="1285"/>
      <c r="H33" s="1285"/>
      <c r="I33" s="1285"/>
      <c r="J33" s="1285"/>
      <c r="K33" s="1285"/>
      <c r="L33" s="1286"/>
      <c r="M33" s="1285"/>
      <c r="N33" s="1285"/>
      <c r="O33" s="1285"/>
      <c r="P33" s="1285"/>
      <c r="Q33" s="1285"/>
      <c r="S33" s="4751" t="s">
        <v>563</v>
      </c>
      <c r="T33" s="4751"/>
      <c r="U33" s="1289"/>
      <c r="V33" s="4752" t="str">
        <f>IF(TITLE_NUMBER_PR_CHANGE="",IF(TITLE_NUMBER_PR="","",TITLE_NUMBER_PR),TITLE_NUMBER_PR_CHANGE)</f>
        <v>233-П</v>
      </c>
      <c r="W33" s="4752"/>
      <c r="X33" s="4752"/>
      <c r="Y33" s="4752"/>
      <c r="Z33" s="4752"/>
      <c r="AA33" s="4752"/>
      <c r="AB33" s="4752"/>
      <c r="AC33" s="253"/>
      <c r="AD33" s="4752" t="str">
        <f>IF(TITLE_NUMBER_PR_CHANGE="",IF(TITLE_NUMBER_PR="","",TITLE_NUMBER_PR),TITLE_NUMBER_PR_CHANGE)</f>
        <v>233-П</v>
      </c>
      <c r="AE33" s="4752"/>
      <c r="AF33" s="4752"/>
      <c r="AG33" s="4752"/>
      <c r="AH33" s="4752"/>
      <c r="AI33" s="4752"/>
      <c r="AJ33" s="4752"/>
      <c r="AK33" s="4752"/>
      <c r="AL33" s="4752"/>
      <c r="AM33" s="4752"/>
      <c r="AN33" s="4752"/>
      <c r="AO33" s="4752"/>
      <c r="AP33" s="4752"/>
      <c r="AQ33" s="4752"/>
      <c r="AR33" s="4752"/>
      <c r="AS33" s="4752"/>
      <c r="AT33" s="4752"/>
      <c r="AU33" s="4752"/>
      <c r="AV33" s="4752"/>
      <c r="AW33" s="4752"/>
      <c r="AX33" s="4752"/>
      <c r="AY33" s="4752"/>
      <c r="AZ33" s="4752"/>
      <c r="BA33" s="253"/>
      <c r="BB33" s="253"/>
      <c r="BC33" s="200"/>
      <c r="BD33" s="297"/>
      <c r="BE33" s="297"/>
      <c r="BF33" s="297"/>
      <c r="BG33" s="297"/>
      <c r="BH33" s="297"/>
    </row>
    <row r="34" spans="1:60" s="1951" customFormat="1" ht="18.75" customHeight="1">
      <c r="A34" s="1285"/>
      <c r="B34" s="1285"/>
      <c r="C34" s="1285"/>
      <c r="D34" s="1285"/>
      <c r="E34" s="1285"/>
      <c r="F34" s="1285"/>
      <c r="G34" s="1285"/>
      <c r="H34" s="1285"/>
      <c r="I34" s="1285"/>
      <c r="J34" s="1285"/>
      <c r="K34" s="1285"/>
      <c r="L34" s="1286"/>
      <c r="M34" s="1285"/>
      <c r="N34" s="1285"/>
      <c r="O34" s="1285"/>
      <c r="P34" s="1285"/>
      <c r="Q34" s="1285"/>
      <c r="S34" s="4751" t="s">
        <v>40</v>
      </c>
      <c r="T34" s="4751"/>
      <c r="U34" s="1289"/>
      <c r="V34" s="4752" t="str">
        <f>IF(TITLE_IST_PUB_CHANGE="",IF(TITLE_IST_PUB="","",TITLE_IST_PUB),TITLE_IST_PUB_CHANGE)</f>
        <v>сайт Агентства по регулированию цен и тарифов Ульяновской области</v>
      </c>
      <c r="W34" s="4752"/>
      <c r="X34" s="4752"/>
      <c r="Y34" s="4752"/>
      <c r="Z34" s="4752"/>
      <c r="AA34" s="4752"/>
      <c r="AB34" s="4752"/>
      <c r="AC34" s="253"/>
      <c r="AD34" s="4752" t="str">
        <f>IF(TITLE_IST_PUB_CHANGE="",IF(TITLE_IST_PUB="","",TITLE_IST_PUB),TITLE_IST_PUB_CHANGE)</f>
        <v>сайт Агентства по регулированию цен и тарифов Ульяновской области</v>
      </c>
      <c r="AE34" s="4752"/>
      <c r="AF34" s="4752"/>
      <c r="AG34" s="4752"/>
      <c r="AH34" s="4752"/>
      <c r="AI34" s="4752"/>
      <c r="AJ34" s="4752"/>
      <c r="AK34" s="4752"/>
      <c r="AL34" s="4752"/>
      <c r="AM34" s="4752"/>
      <c r="AN34" s="4752"/>
      <c r="AO34" s="4752"/>
      <c r="AP34" s="4752"/>
      <c r="AQ34" s="4752"/>
      <c r="AR34" s="4752"/>
      <c r="AS34" s="4752"/>
      <c r="AT34" s="4752"/>
      <c r="AU34" s="4752"/>
      <c r="AV34" s="4752"/>
      <c r="AW34" s="4752"/>
      <c r="AX34" s="4752"/>
      <c r="AY34" s="4752"/>
      <c r="AZ34" s="475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51" customFormat="1" ht="18.75" hidden="1" customHeight="1">
      <c r="A36" s="1285"/>
      <c r="B36" s="1285"/>
      <c r="C36" s="1285"/>
      <c r="D36" s="1285"/>
      <c r="E36" s="1285"/>
      <c r="F36" s="1285"/>
      <c r="G36" s="1285"/>
      <c r="H36" s="1285"/>
      <c r="I36" s="1285"/>
      <c r="J36" s="1285"/>
      <c r="K36" s="1285"/>
      <c r="L36" s="1286"/>
      <c r="M36" s="1285"/>
      <c r="N36" s="1285"/>
      <c r="O36" s="1285"/>
      <c r="P36" s="1285"/>
      <c r="Q36" s="1285"/>
      <c r="S36" s="4751" t="s">
        <v>562</v>
      </c>
      <c r="T36" s="4751"/>
      <c r="U36" s="1289"/>
      <c r="V36" s="4761">
        <f>IF(TITLE_DATE_PR_CHANGE="",IF(TITLE_DATE_PR="","",TITLE_DATE_PR),TITLE_DATE_PR_CHANGE)</f>
        <v>45279.639965277776</v>
      </c>
      <c r="W36" s="4761"/>
      <c r="X36" s="4761"/>
      <c r="Y36" s="4761"/>
      <c r="Z36" s="4761"/>
      <c r="AA36" s="4761"/>
      <c r="AB36" s="4761"/>
      <c r="AC36" s="253"/>
      <c r="AD36" s="4761">
        <f>IF(TITLE_DATE_PR_CHANGE="",IF(TITLE_DATE_PR="","",TITLE_DATE_PR),TITLE_DATE_PR_CHANGE)</f>
        <v>45279.639965277776</v>
      </c>
      <c r="AE36" s="4761"/>
      <c r="AF36" s="4761"/>
      <c r="AG36" s="4761"/>
      <c r="AH36" s="4761"/>
      <c r="AI36" s="4761"/>
      <c r="AJ36" s="4761"/>
      <c r="AK36" s="4761"/>
      <c r="AL36" s="4761"/>
      <c r="AM36" s="4761"/>
      <c r="AN36" s="4761"/>
      <c r="AO36" s="4761"/>
      <c r="AP36" s="4761"/>
      <c r="AQ36" s="4761"/>
      <c r="AR36" s="4761"/>
      <c r="AS36" s="4761"/>
      <c r="AT36" s="4761"/>
      <c r="AU36" s="4761"/>
      <c r="AV36" s="4761"/>
      <c r="AW36" s="4761"/>
      <c r="AX36" s="4761"/>
      <c r="AY36" s="4761"/>
      <c r="AZ36" s="4761"/>
      <c r="BA36" s="253"/>
      <c r="BB36" s="253"/>
      <c r="BC36" s="200"/>
      <c r="BD36" s="297"/>
      <c r="BE36" s="297"/>
      <c r="BF36" s="297"/>
      <c r="BG36" s="297"/>
      <c r="BH36" s="297"/>
    </row>
    <row r="37" spans="1:60" s="1951" customFormat="1" ht="18.75" hidden="1" customHeight="1">
      <c r="A37" s="1285"/>
      <c r="B37" s="1285"/>
      <c r="C37" s="1285"/>
      <c r="D37" s="1285"/>
      <c r="E37" s="1285"/>
      <c r="F37" s="1285"/>
      <c r="G37" s="1285"/>
      <c r="H37" s="1285"/>
      <c r="I37" s="1285"/>
      <c r="J37" s="1285"/>
      <c r="K37" s="1285"/>
      <c r="L37" s="1286"/>
      <c r="M37" s="1285"/>
      <c r="N37" s="1285"/>
      <c r="O37" s="1285"/>
      <c r="P37" s="1285"/>
      <c r="Q37" s="1285"/>
      <c r="S37" s="4751" t="s">
        <v>563</v>
      </c>
      <c r="T37" s="4751"/>
      <c r="U37" s="1289"/>
      <c r="V37" s="4752" t="str">
        <f>IF(TITLE_NUMBER_PR_CHANGE="",IF(TITLE_NUMBER_PR="","",TITLE_NUMBER_PR),TITLE_NUMBER_PR_CHANGE)</f>
        <v>233-П</v>
      </c>
      <c r="W37" s="4752"/>
      <c r="X37" s="4752"/>
      <c r="Y37" s="4752"/>
      <c r="Z37" s="4752"/>
      <c r="AA37" s="4752"/>
      <c r="AB37" s="4752"/>
      <c r="AC37" s="253"/>
      <c r="AD37" s="4752" t="str">
        <f>IF(TITLE_NUMBER_PR_CHANGE="",IF(TITLE_NUMBER_PR="","",TITLE_NUMBER_PR),TITLE_NUMBER_PR_CHANGE)</f>
        <v>233-П</v>
      </c>
      <c r="AE37" s="4752"/>
      <c r="AF37" s="4752"/>
      <c r="AG37" s="4752"/>
      <c r="AH37" s="4752"/>
      <c r="AI37" s="4752"/>
      <c r="AJ37" s="4752"/>
      <c r="AK37" s="4752"/>
      <c r="AL37" s="4752"/>
      <c r="AM37" s="4752"/>
      <c r="AN37" s="4752"/>
      <c r="AO37" s="4752"/>
      <c r="AP37" s="4752"/>
      <c r="AQ37" s="4752"/>
      <c r="AR37" s="4752"/>
      <c r="AS37" s="4752"/>
      <c r="AT37" s="4752"/>
      <c r="AU37" s="4752"/>
      <c r="AV37" s="4752"/>
      <c r="AW37" s="4752"/>
      <c r="AX37" s="4752"/>
      <c r="AY37" s="4752"/>
      <c r="AZ37" s="4752"/>
      <c r="BA37" s="253"/>
      <c r="BB37" s="253"/>
      <c r="BC37" s="200"/>
      <c r="BD37" s="297"/>
      <c r="BE37" s="297"/>
      <c r="BF37" s="297"/>
      <c r="BG37" s="297"/>
      <c r="BH37" s="297"/>
    </row>
    <row r="38" spans="1:60" s="195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566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566</v>
      </c>
      <c r="BD38" s="297"/>
      <c r="BE38" s="297"/>
      <c r="BF38" s="297"/>
      <c r="BG38" s="297"/>
      <c r="BH38" s="297"/>
    </row>
    <row r="39" spans="1:60" ht="14.25" customHeight="1">
      <c r="Q39" s="210"/>
      <c r="R39" s="306"/>
      <c r="S39" s="1196"/>
      <c r="T39" s="291"/>
      <c r="U39" s="1154"/>
      <c r="V39" s="4753"/>
      <c r="W39" s="4753"/>
      <c r="X39" s="4753"/>
      <c r="Y39" s="4753"/>
      <c r="Z39" s="4753"/>
      <c r="AA39" s="4753"/>
      <c r="AB39" s="4753"/>
      <c r="AC39" s="4753"/>
      <c r="AD39" s="4753"/>
      <c r="AE39" s="4753"/>
      <c r="AF39" s="4753"/>
      <c r="AG39" s="4753"/>
      <c r="AH39" s="4753"/>
      <c r="AI39" s="4753"/>
      <c r="AJ39" s="4753"/>
      <c r="AK39" s="4753"/>
      <c r="AL39" s="4753"/>
      <c r="AM39" s="4753"/>
      <c r="AN39" s="4753"/>
      <c r="AO39" s="4753"/>
      <c r="AP39" s="4753"/>
      <c r="AQ39" s="4753"/>
      <c r="AR39" s="4753"/>
      <c r="AS39" s="4753"/>
      <c r="AT39" s="4753"/>
      <c r="AU39" s="4753"/>
      <c r="AV39" s="4753"/>
      <c r="AW39" s="4753"/>
      <c r="AX39" s="4753"/>
      <c r="AY39" s="4753"/>
      <c r="AZ39" s="4753"/>
      <c r="BA39" s="4753"/>
    </row>
    <row r="40" spans="1:60" ht="14.25" customHeight="1">
      <c r="Q40" s="210"/>
      <c r="R40" s="306"/>
      <c r="S40" s="4627" t="s">
        <v>439</v>
      </c>
      <c r="T40" s="4627"/>
      <c r="U40" s="4627"/>
      <c r="V40" s="4627"/>
      <c r="W40" s="4627"/>
      <c r="X40" s="4627"/>
      <c r="Y40" s="4627"/>
      <c r="Z40" s="4627"/>
      <c r="AA40" s="4627"/>
      <c r="AB40" s="4627"/>
      <c r="AC40" s="4627"/>
      <c r="AD40" s="4627"/>
      <c r="AE40" s="4627"/>
      <c r="AF40" s="4627"/>
      <c r="AG40" s="4627"/>
      <c r="AH40" s="4627"/>
      <c r="AI40" s="4627"/>
      <c r="AJ40" s="4627"/>
      <c r="AK40" s="4627"/>
      <c r="AL40" s="4627"/>
      <c r="AM40" s="4627"/>
      <c r="AN40" s="4627"/>
      <c r="AO40" s="4627"/>
      <c r="AP40" s="4627"/>
      <c r="AQ40" s="4627"/>
      <c r="AR40" s="4627"/>
      <c r="AS40" s="4627"/>
      <c r="AT40" s="4627"/>
      <c r="AU40" s="4627"/>
      <c r="AV40" s="4627"/>
      <c r="AW40" s="4627"/>
      <c r="AX40" s="4627"/>
      <c r="AY40" s="4627"/>
      <c r="AZ40" s="4627"/>
      <c r="BA40" s="4627"/>
      <c r="BB40" s="4627"/>
      <c r="BC40" s="4627" t="s">
        <v>440</v>
      </c>
    </row>
    <row r="41" spans="1:60" ht="14.25" customHeight="1">
      <c r="Q41" s="210"/>
      <c r="R41" s="306"/>
      <c r="S41" s="4767" t="s">
        <v>86</v>
      </c>
      <c r="T41" s="4719" t="s">
        <v>643</v>
      </c>
      <c r="U41" s="220"/>
      <c r="V41" s="4768" t="s">
        <v>568</v>
      </c>
      <c r="W41" s="4769"/>
      <c r="X41" s="4769"/>
      <c r="Y41" s="4769"/>
      <c r="Z41" s="4769"/>
      <c r="AA41" s="4769"/>
      <c r="AB41" s="4770"/>
      <c r="AC41" s="4771" t="s">
        <v>569</v>
      </c>
      <c r="AD41" s="4797" t="s">
        <v>665</v>
      </c>
      <c r="AE41" s="4783"/>
      <c r="AF41" s="4783"/>
      <c r="AG41" s="4798"/>
      <c r="AH41" s="4797" t="s">
        <v>666</v>
      </c>
      <c r="AI41" s="4783"/>
      <c r="AJ41" s="4783"/>
      <c r="AK41" s="4798"/>
      <c r="AL41" s="4797" t="s">
        <v>667</v>
      </c>
      <c r="AM41" s="4783"/>
      <c r="AN41" s="4783"/>
      <c r="AO41" s="4798"/>
      <c r="AP41" s="4797" t="s">
        <v>647</v>
      </c>
      <c r="AQ41" s="4783"/>
      <c r="AR41" s="4783"/>
      <c r="AS41" s="4798"/>
      <c r="AT41" s="4768" t="s">
        <v>568</v>
      </c>
      <c r="AU41" s="4769"/>
      <c r="AV41" s="4769"/>
      <c r="AW41" s="4769"/>
      <c r="AX41" s="4769"/>
      <c r="AY41" s="4769"/>
      <c r="AZ41" s="4770"/>
      <c r="BA41" s="4771" t="s">
        <v>569</v>
      </c>
      <c r="BB41" s="4774" t="s">
        <v>571</v>
      </c>
      <c r="BC41" s="4627"/>
    </row>
    <row r="42" spans="1:60" ht="33.75" customHeight="1">
      <c r="Q42" s="210"/>
      <c r="R42" s="306"/>
      <c r="S42" s="4767"/>
      <c r="T42" s="4719"/>
      <c r="U42" s="939"/>
      <c r="V42" s="4704" t="s">
        <v>648</v>
      </c>
      <c r="W42" s="4705"/>
      <c r="X42" s="4704" t="s">
        <v>649</v>
      </c>
      <c r="Y42" s="4705"/>
      <c r="Z42" s="4704" t="s">
        <v>650</v>
      </c>
      <c r="AA42" s="4792"/>
      <c r="AB42" s="4705"/>
      <c r="AC42" s="4772"/>
      <c r="AD42" s="4799"/>
      <c r="AE42" s="4800"/>
      <c r="AF42" s="4800"/>
      <c r="AG42" s="4801"/>
      <c r="AH42" s="4799"/>
      <c r="AI42" s="4800"/>
      <c r="AJ42" s="4800"/>
      <c r="AK42" s="4801"/>
      <c r="AL42" s="4799"/>
      <c r="AM42" s="4800"/>
      <c r="AN42" s="4800"/>
      <c r="AO42" s="4801"/>
      <c r="AP42" s="4799"/>
      <c r="AQ42" s="4800"/>
      <c r="AR42" s="4800"/>
      <c r="AS42" s="4801"/>
      <c r="AT42" s="4704" t="s">
        <v>668</v>
      </c>
      <c r="AU42" s="4705"/>
      <c r="AV42" s="4704" t="s">
        <v>669</v>
      </c>
      <c r="AW42" s="4705"/>
      <c r="AX42" s="4704" t="s">
        <v>650</v>
      </c>
      <c r="AY42" s="4792"/>
      <c r="AZ42" s="4705"/>
      <c r="BA42" s="4772"/>
      <c r="BB42" s="4775"/>
      <c r="BC42" s="4627"/>
    </row>
    <row r="43" spans="1:60" ht="14.25" customHeight="1">
      <c r="Q43" s="210"/>
      <c r="R43" s="306"/>
      <c r="S43" s="4767"/>
      <c r="T43" s="4719"/>
      <c r="U43" s="939"/>
      <c r="V43" s="4709"/>
      <c r="W43" s="4710"/>
      <c r="X43" s="4709"/>
      <c r="Y43" s="4710"/>
      <c r="Z43" s="4709"/>
      <c r="AA43" s="4793"/>
      <c r="AB43" s="4710"/>
      <c r="AC43" s="4772"/>
      <c r="AD43" s="4799"/>
      <c r="AE43" s="4800"/>
      <c r="AF43" s="4800"/>
      <c r="AG43" s="4801"/>
      <c r="AH43" s="4799"/>
      <c r="AI43" s="4800"/>
      <c r="AJ43" s="4800"/>
      <c r="AK43" s="4801"/>
      <c r="AL43" s="4799"/>
      <c r="AM43" s="4800"/>
      <c r="AN43" s="4800"/>
      <c r="AO43" s="4801"/>
      <c r="AP43" s="4799"/>
      <c r="AQ43" s="4800"/>
      <c r="AR43" s="4800"/>
      <c r="AS43" s="4801"/>
      <c r="AT43" s="4709"/>
      <c r="AU43" s="4710"/>
      <c r="AV43" s="4709"/>
      <c r="AW43" s="4710"/>
      <c r="AX43" s="4709"/>
      <c r="AY43" s="4793"/>
      <c r="AZ43" s="4710"/>
      <c r="BA43" s="4772"/>
      <c r="BB43" s="4775"/>
      <c r="BC43" s="4627"/>
    </row>
    <row r="44" spans="1:60" ht="14.25" customHeight="1">
      <c r="A44" s="1287"/>
      <c r="B44" s="1287" t="s">
        <v>197</v>
      </c>
      <c r="C44" s="1287" t="s">
        <v>198</v>
      </c>
      <c r="D44" s="1287" t="s">
        <v>199</v>
      </c>
      <c r="E44" s="1281" t="s">
        <v>576</v>
      </c>
      <c r="F44" s="1281" t="s">
        <v>577</v>
      </c>
      <c r="G44" s="1281" t="s">
        <v>578</v>
      </c>
      <c r="H44" s="1281" t="s">
        <v>579</v>
      </c>
      <c r="I44" s="1281" t="s">
        <v>580</v>
      </c>
      <c r="J44" s="1281" t="s">
        <v>581</v>
      </c>
      <c r="K44" s="1281" t="s">
        <v>582</v>
      </c>
      <c r="L44" s="1281" t="s">
        <v>557</v>
      </c>
      <c r="Q44" s="210"/>
      <c r="R44" s="306"/>
      <c r="S44" s="4767"/>
      <c r="T44" s="4719"/>
      <c r="U44" s="221"/>
      <c r="V44" s="1390" t="s">
        <v>616</v>
      </c>
      <c r="W44" s="1390" t="s">
        <v>617</v>
      </c>
      <c r="X44" s="1390" t="s">
        <v>616</v>
      </c>
      <c r="Y44" s="1390" t="s">
        <v>617</v>
      </c>
      <c r="Z44" s="1400" t="s">
        <v>585</v>
      </c>
      <c r="AA44" s="4727" t="s">
        <v>586</v>
      </c>
      <c r="AB44" s="4729"/>
      <c r="AC44" s="4773"/>
      <c r="AD44" s="4802"/>
      <c r="AE44" s="4803"/>
      <c r="AF44" s="4803"/>
      <c r="AG44" s="4804"/>
      <c r="AH44" s="4802"/>
      <c r="AI44" s="4803"/>
      <c r="AJ44" s="4803"/>
      <c r="AK44" s="4804"/>
      <c r="AL44" s="4802"/>
      <c r="AM44" s="4803"/>
      <c r="AN44" s="4803"/>
      <c r="AO44" s="4804"/>
      <c r="AP44" s="4802"/>
      <c r="AQ44" s="4803"/>
      <c r="AR44" s="4803"/>
      <c r="AS44" s="4804"/>
      <c r="AT44" s="1390" t="s">
        <v>616</v>
      </c>
      <c r="AU44" s="1390" t="s">
        <v>617</v>
      </c>
      <c r="AV44" s="1390" t="s">
        <v>616</v>
      </c>
      <c r="AW44" s="1390" t="s">
        <v>617</v>
      </c>
      <c r="AX44" s="1400" t="s">
        <v>585</v>
      </c>
      <c r="AY44" s="4727" t="s">
        <v>586</v>
      </c>
      <c r="AZ44" s="4729"/>
      <c r="BA44" s="4773"/>
      <c r="BB44" s="4776"/>
      <c r="BC44" s="4627"/>
    </row>
    <row r="45" spans="1:60" s="1820"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174</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4766">
        <f t="shared" ca="1" si="2"/>
        <v>8</v>
      </c>
      <c r="AB45" s="4766"/>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4766">
        <f ca="1">OFFSET(AY45,0,-1)+1</f>
        <v>3</v>
      </c>
      <c r="AZ45" s="4766"/>
      <c r="BA45" s="1393">
        <f ca="1">OFFSET(BA45,0,-2)+1</f>
        <v>4</v>
      </c>
      <c r="BB45" s="1155">
        <f ca="1">OFFSET(BB45,0,-1)</f>
        <v>4</v>
      </c>
      <c r="BC45" s="1393">
        <f ca="1">OFFSET(BC45,0,-1)+1</f>
        <v>5</v>
      </c>
      <c r="BD45" s="438"/>
      <c r="BE45" s="438"/>
      <c r="BF45" s="438"/>
      <c r="BG45" s="438"/>
      <c r="BH45" s="438"/>
    </row>
    <row r="46" spans="1:60" ht="21" customHeight="1">
      <c r="A46" s="1280" t="s">
        <v>415</v>
      </c>
      <c r="B46" s="1280"/>
      <c r="C46" s="1280"/>
      <c r="D46" s="1280"/>
      <c r="E46" s="4759">
        <v>1</v>
      </c>
      <c r="F46" s="1280"/>
      <c r="G46" s="1280"/>
      <c r="H46" s="1280"/>
      <c r="I46" s="1280"/>
      <c r="J46" s="1280"/>
      <c r="K46" s="1280"/>
      <c r="L46" s="1281"/>
      <c r="M46" s="1282"/>
      <c r="N46" s="1282"/>
      <c r="O46" s="1282"/>
      <c r="P46" s="1326"/>
      <c r="Q46" s="787"/>
      <c r="R46" s="281"/>
      <c r="S46" s="1404">
        <f>INDEX(PT_DIFFERENTIATION_NUM_NTAR,MATCH(A46,PT_DIFFERENTIATION_NTAR_ID,0))</f>
        <v>0</v>
      </c>
      <c r="T46" s="217" t="s">
        <v>185</v>
      </c>
      <c r="U46" s="219"/>
      <c r="V46" s="4746"/>
      <c r="W46" s="4746"/>
      <c r="X46" s="4746"/>
      <c r="Y46" s="4746"/>
      <c r="Z46" s="4746"/>
      <c r="AA46" s="4746"/>
      <c r="AB46" s="4746"/>
      <c r="AC46" s="4747"/>
      <c r="AD46" s="4745" t="str">
        <f>INDEX(PT_DIFFERENTIATION_NTAR,MATCH(A46,PT_DIFFERENTIATION_NTAR_ID,0))</f>
        <v/>
      </c>
      <c r="AE46" s="4746"/>
      <c r="AF46" s="4746"/>
      <c r="AG46" s="4746"/>
      <c r="AH46" s="4746"/>
      <c r="AI46" s="4746"/>
      <c r="AJ46" s="4746"/>
      <c r="AK46" s="4746"/>
      <c r="AL46" s="4746"/>
      <c r="AM46" s="4746"/>
      <c r="AN46" s="4746"/>
      <c r="AO46" s="4746"/>
      <c r="AP46" s="4746"/>
      <c r="AQ46" s="4746"/>
      <c r="AR46" s="4746"/>
      <c r="AS46" s="4746"/>
      <c r="AT46" s="4746"/>
      <c r="AU46" s="4746"/>
      <c r="AV46" s="4746"/>
      <c r="AW46" s="4746"/>
      <c r="AX46" s="4746"/>
      <c r="AY46" s="4746"/>
      <c r="AZ46" s="4746"/>
      <c r="BA46" s="4746"/>
      <c r="BB46" s="474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415</v>
      </c>
      <c r="B47" s="1280" t="s">
        <v>416</v>
      </c>
      <c r="C47" s="1280"/>
      <c r="D47" s="1280"/>
      <c r="E47" s="4760"/>
      <c r="F47" s="4759">
        <v>1</v>
      </c>
      <c r="G47" s="1280"/>
      <c r="H47" s="1280"/>
      <c r="I47" s="1280"/>
      <c r="J47" s="1280"/>
      <c r="K47" s="1280"/>
      <c r="L47" s="1281"/>
      <c r="M47" s="1282"/>
      <c r="N47" s="1282"/>
      <c r="O47" s="1282"/>
      <c r="P47" s="1327"/>
      <c r="Q47" s="1328"/>
      <c r="R47" s="279"/>
      <c r="S47" s="1404" t="str">
        <f>INDEX(PT_DIFFERENTIATION_NUM_TER,MATCH(B47,PT_DIFFERENTIATION_TER_ID,0))</f>
        <v>.</v>
      </c>
      <c r="T47" s="229" t="s">
        <v>538</v>
      </c>
      <c r="U47" s="219"/>
      <c r="V47" s="4746"/>
      <c r="W47" s="4746"/>
      <c r="X47" s="4746"/>
      <c r="Y47" s="4746"/>
      <c r="Z47" s="4746"/>
      <c r="AA47" s="4746"/>
      <c r="AB47" s="4746"/>
      <c r="AC47" s="4747"/>
      <c r="AD47" s="4745" t="str">
        <f>INDEX(PT_DIFFERENTIATION_TER,MATCH(B47,PT_DIFFERENTIATION_TER_ID,0))</f>
        <v/>
      </c>
      <c r="AE47" s="4746"/>
      <c r="AF47" s="4746"/>
      <c r="AG47" s="4746"/>
      <c r="AH47" s="4746"/>
      <c r="AI47" s="4746"/>
      <c r="AJ47" s="4746"/>
      <c r="AK47" s="4746"/>
      <c r="AL47" s="4746"/>
      <c r="AM47" s="4746"/>
      <c r="AN47" s="4746"/>
      <c r="AO47" s="4746"/>
      <c r="AP47" s="4746"/>
      <c r="AQ47" s="4746"/>
      <c r="AR47" s="4746"/>
      <c r="AS47" s="4746"/>
      <c r="AT47" s="4746"/>
      <c r="AU47" s="4746"/>
      <c r="AV47" s="4746"/>
      <c r="AW47" s="4746"/>
      <c r="AX47" s="4746"/>
      <c r="AY47" s="4746"/>
      <c r="AZ47" s="4746"/>
      <c r="BA47" s="4746"/>
      <c r="BB47" s="4747"/>
      <c r="BC47" s="1178" t="s">
        <v>539</v>
      </c>
      <c r="BE47" s="427"/>
      <c r="BF47" s="427" t="str">
        <f t="shared" si="3"/>
        <v>Территория действия тарифа</v>
      </c>
      <c r="BG47" s="427"/>
      <c r="BH47" s="427"/>
    </row>
    <row r="48" spans="1:60" ht="33.75" customHeight="1">
      <c r="A48" s="1280" t="s">
        <v>415</v>
      </c>
      <c r="B48" s="1280" t="s">
        <v>416</v>
      </c>
      <c r="C48" s="1280" t="s">
        <v>417</v>
      </c>
      <c r="D48" s="1280"/>
      <c r="E48" s="4760"/>
      <c r="F48" s="4760"/>
      <c r="G48" s="4759">
        <v>1</v>
      </c>
      <c r="H48" s="1280"/>
      <c r="I48" s="1280"/>
      <c r="J48" s="1280"/>
      <c r="K48" s="1280"/>
      <c r="L48" s="1281"/>
      <c r="M48" s="1282"/>
      <c r="N48" s="1282"/>
      <c r="O48" s="1282"/>
      <c r="P48" s="1329"/>
      <c r="Q48" s="1328"/>
      <c r="R48" s="279"/>
      <c r="S48" s="1404" t="str">
        <f>INDEX(PT_DIFFERENTIATION_NUM_CS,MATCH(C48,PT_DIFFERENTIATION_CS_ID,0))</f>
        <v>..</v>
      </c>
      <c r="T48" s="230" t="s">
        <v>652</v>
      </c>
      <c r="U48" s="219"/>
      <c r="V48" s="4746"/>
      <c r="W48" s="4746"/>
      <c r="X48" s="4746"/>
      <c r="Y48" s="4746"/>
      <c r="Z48" s="4746"/>
      <c r="AA48" s="4746"/>
      <c r="AB48" s="4746"/>
      <c r="AC48" s="4747"/>
      <c r="AD48" s="4745" t="str">
        <f>INDEX(PT_DIFFERENTIATION_CS,MATCH(C48,PT_DIFFERENTIATION_CS_ID,0))</f>
        <v/>
      </c>
      <c r="AE48" s="4746"/>
      <c r="AF48" s="4746"/>
      <c r="AG48" s="4746"/>
      <c r="AH48" s="4746"/>
      <c r="AI48" s="4746"/>
      <c r="AJ48" s="4746"/>
      <c r="AK48" s="4746"/>
      <c r="AL48" s="4746"/>
      <c r="AM48" s="4746"/>
      <c r="AN48" s="4746"/>
      <c r="AO48" s="4746"/>
      <c r="AP48" s="4746"/>
      <c r="AQ48" s="4746"/>
      <c r="AR48" s="4746"/>
      <c r="AS48" s="4746"/>
      <c r="AT48" s="4746"/>
      <c r="AU48" s="4746"/>
      <c r="AV48" s="4746"/>
      <c r="AW48" s="4746"/>
      <c r="AX48" s="4746"/>
      <c r="AY48" s="4746"/>
      <c r="AZ48" s="4746"/>
      <c r="BA48" s="4746"/>
      <c r="BB48" s="4747"/>
      <c r="BC48" s="1178" t="s">
        <v>653</v>
      </c>
      <c r="BE48" s="427"/>
      <c r="BF48" s="427" t="str">
        <f t="shared" si="3"/>
        <v>Наименование централизованной системы водоотведения</v>
      </c>
      <c r="BG48" s="427"/>
      <c r="BH48" s="427"/>
    </row>
    <row r="49" spans="1:60" s="1821" customFormat="1" ht="0" hidden="1" customHeight="1">
      <c r="A49" s="1261" t="s">
        <v>415</v>
      </c>
      <c r="B49" s="1261" t="s">
        <v>416</v>
      </c>
      <c r="C49" s="1261" t="s">
        <v>417</v>
      </c>
      <c r="D49" s="1261" t="s">
        <v>670</v>
      </c>
      <c r="E49" s="4760"/>
      <c r="F49" s="4760"/>
      <c r="G49" s="4760"/>
      <c r="H49" s="4759">
        <v>1</v>
      </c>
      <c r="I49" s="1261"/>
      <c r="J49" s="1261"/>
      <c r="K49" s="1261"/>
      <c r="L49" s="1264"/>
      <c r="M49" s="1234"/>
      <c r="N49" s="1234"/>
      <c r="O49" s="1234"/>
      <c r="P49" s="1408"/>
      <c r="Q49" s="1409"/>
      <c r="R49" s="283"/>
      <c r="S49" s="950"/>
      <c r="T49" s="1410"/>
      <c r="U49" s="1301"/>
      <c r="V49" s="4787"/>
      <c r="W49" s="4787"/>
      <c r="X49" s="4787"/>
      <c r="Y49" s="4787"/>
      <c r="Z49" s="4787"/>
      <c r="AA49" s="4787"/>
      <c r="AB49" s="4787"/>
      <c r="AC49" s="4788"/>
      <c r="AD49" s="4786"/>
      <c r="AE49" s="4787"/>
      <c r="AF49" s="4787"/>
      <c r="AG49" s="4787"/>
      <c r="AH49" s="4787"/>
      <c r="AI49" s="4787"/>
      <c r="AJ49" s="4787"/>
      <c r="AK49" s="4787"/>
      <c r="AL49" s="4787"/>
      <c r="AM49" s="4787"/>
      <c r="AN49" s="4787"/>
      <c r="AO49" s="4787"/>
      <c r="AP49" s="4787"/>
      <c r="AQ49" s="4787"/>
      <c r="AR49" s="4787"/>
      <c r="AS49" s="4787"/>
      <c r="AT49" s="4787"/>
      <c r="AU49" s="4787"/>
      <c r="AV49" s="4787"/>
      <c r="AW49" s="4787"/>
      <c r="AX49" s="4787"/>
      <c r="AY49" s="4787"/>
      <c r="AZ49" s="4787"/>
      <c r="BA49" s="4787"/>
      <c r="BB49" s="4788"/>
      <c r="BC49" s="1302" t="s">
        <v>543</v>
      </c>
      <c r="BE49" s="427"/>
      <c r="BF49" s="427" t="str">
        <f t="shared" si="3"/>
        <v/>
      </c>
      <c r="BG49" s="427"/>
      <c r="BH49" s="427"/>
    </row>
    <row r="50" spans="1:60" s="1821" customFormat="1" ht="0" hidden="1" customHeight="1">
      <c r="A50" s="1261" t="s">
        <v>415</v>
      </c>
      <c r="B50" s="1261" t="s">
        <v>416</v>
      </c>
      <c r="C50" s="1261" t="s">
        <v>417</v>
      </c>
      <c r="D50" s="1261" t="s">
        <v>670</v>
      </c>
      <c r="E50" s="4760"/>
      <c r="F50" s="4760"/>
      <c r="G50" s="4760"/>
      <c r="H50" s="4760"/>
      <c r="I50" s="4757" t="str">
        <f>S49&amp;".1"</f>
        <v>.1</v>
      </c>
      <c r="J50" s="1261"/>
      <c r="K50" s="1261"/>
      <c r="L50" s="1264" t="s">
        <v>544</v>
      </c>
      <c r="M50" s="437"/>
      <c r="N50" s="437"/>
      <c r="O50" s="437"/>
      <c r="P50" s="4758">
        <v>1</v>
      </c>
      <c r="Q50" s="1392"/>
      <c r="R50" s="282"/>
      <c r="S50" s="950"/>
      <c r="T50" s="1300"/>
      <c r="U50" s="1301"/>
      <c r="V50" s="4787"/>
      <c r="W50" s="4787"/>
      <c r="X50" s="4787"/>
      <c r="Y50" s="4787"/>
      <c r="Z50" s="4787"/>
      <c r="AA50" s="4787"/>
      <c r="AB50" s="4787"/>
      <c r="AC50" s="4788"/>
      <c r="AD50" s="4786"/>
      <c r="AE50" s="4787"/>
      <c r="AF50" s="4787"/>
      <c r="AG50" s="4787"/>
      <c r="AH50" s="4787"/>
      <c r="AI50" s="4787"/>
      <c r="AJ50" s="4787"/>
      <c r="AK50" s="4787"/>
      <c r="AL50" s="4787"/>
      <c r="AM50" s="4787"/>
      <c r="AN50" s="4787"/>
      <c r="AO50" s="4787"/>
      <c r="AP50" s="4787"/>
      <c r="AQ50" s="4787"/>
      <c r="AR50" s="4787"/>
      <c r="AS50" s="4787"/>
      <c r="AT50" s="4787"/>
      <c r="AU50" s="4787"/>
      <c r="AV50" s="4787"/>
      <c r="AW50" s="4787"/>
      <c r="AX50" s="4787"/>
      <c r="AY50" s="4787"/>
      <c r="AZ50" s="4787"/>
      <c r="BA50" s="4787"/>
      <c r="BB50" s="4788"/>
      <c r="BC50" s="1302"/>
      <c r="BE50" s="427"/>
      <c r="BF50" s="427" t="str">
        <f t="shared" si="3"/>
        <v/>
      </c>
      <c r="BG50" s="427"/>
      <c r="BH50" s="427"/>
    </row>
    <row r="51" spans="1:60" s="1821" customFormat="1" ht="0" hidden="1" customHeight="1">
      <c r="A51" s="1261" t="s">
        <v>415</v>
      </c>
      <c r="B51" s="1261" t="s">
        <v>416</v>
      </c>
      <c r="C51" s="1261" t="s">
        <v>417</v>
      </c>
      <c r="D51" s="1261" t="s">
        <v>670</v>
      </c>
      <c r="E51" s="4760"/>
      <c r="F51" s="4760"/>
      <c r="G51" s="4760"/>
      <c r="H51" s="4760"/>
      <c r="I51" s="4780"/>
      <c r="J51" s="4757" t="str">
        <f>S49&amp;".1"</f>
        <v>.1</v>
      </c>
      <c r="K51" s="1261"/>
      <c r="L51" s="1264"/>
      <c r="M51" s="437"/>
      <c r="N51" s="437"/>
      <c r="O51" s="437"/>
      <c r="P51" s="4758"/>
      <c r="Q51" s="4758">
        <v>1</v>
      </c>
      <c r="R51" s="283"/>
      <c r="S51" s="950"/>
      <c r="T51" s="1316"/>
      <c r="U51" s="1301"/>
      <c r="V51" s="4787"/>
      <c r="W51" s="4787"/>
      <c r="X51" s="4787"/>
      <c r="Y51" s="4787"/>
      <c r="Z51" s="4787"/>
      <c r="AA51" s="4787"/>
      <c r="AB51" s="4787"/>
      <c r="AC51" s="4788"/>
      <c r="AD51" s="4786"/>
      <c r="AE51" s="4787"/>
      <c r="AF51" s="4787"/>
      <c r="AG51" s="4787"/>
      <c r="AH51" s="4787"/>
      <c r="AI51" s="4787"/>
      <c r="AJ51" s="4787"/>
      <c r="AK51" s="4787"/>
      <c r="AL51" s="4787"/>
      <c r="AM51" s="4787"/>
      <c r="AN51" s="4832"/>
      <c r="AO51" s="4832"/>
      <c r="AP51" s="4787"/>
      <c r="AQ51" s="4787"/>
      <c r="AR51" s="4787"/>
      <c r="AS51" s="4787"/>
      <c r="AT51" s="4787"/>
      <c r="AU51" s="4787"/>
      <c r="AV51" s="4787"/>
      <c r="AW51" s="4787"/>
      <c r="AX51" s="4787"/>
      <c r="AY51" s="4787"/>
      <c r="AZ51" s="4787"/>
      <c r="BA51" s="4787"/>
      <c r="BB51" s="4788"/>
      <c r="BC51" s="1302"/>
      <c r="BE51" s="427"/>
      <c r="BF51" s="427" t="str">
        <f t="shared" si="3"/>
        <v/>
      </c>
      <c r="BG51" s="427"/>
      <c r="BH51" s="427"/>
    </row>
    <row r="52" spans="1:60" ht="11.25" customHeight="1">
      <c r="A52" s="1280" t="s">
        <v>415</v>
      </c>
      <c r="B52" s="1280" t="s">
        <v>416</v>
      </c>
      <c r="C52" s="1280" t="s">
        <v>417</v>
      </c>
      <c r="D52" s="1280" t="s">
        <v>670</v>
      </c>
      <c r="E52" s="4760"/>
      <c r="F52" s="4760"/>
      <c r="G52" s="4760"/>
      <c r="H52" s="4760"/>
      <c r="I52" s="4780"/>
      <c r="J52" s="4780"/>
      <c r="K52" s="4757" t="str">
        <f>S48&amp;".1"</f>
        <v>...1</v>
      </c>
      <c r="L52" s="1281"/>
      <c r="P52" s="4758"/>
      <c r="Q52" s="4758"/>
      <c r="R52" s="283">
        <v>1</v>
      </c>
      <c r="S52" s="4809" t="str">
        <f>$K52</f>
        <v>...1</v>
      </c>
      <c r="T52" s="4827"/>
      <c r="U52" s="219"/>
      <c r="V52" s="669"/>
      <c r="W52" s="1177"/>
      <c r="X52" s="669"/>
      <c r="Y52" s="1177"/>
      <c r="Z52" s="1645"/>
      <c r="AA52" s="1381" t="s">
        <v>65</v>
      </c>
      <c r="AB52" s="1645"/>
      <c r="AC52" s="1381" t="s">
        <v>65</v>
      </c>
      <c r="AD52" s="4684" t="s">
        <v>65</v>
      </c>
      <c r="AE52" s="4795"/>
      <c r="AF52" s="4714">
        <v>1</v>
      </c>
      <c r="AG52" s="4831"/>
      <c r="AH52" s="4608" t="s">
        <v>65</v>
      </c>
      <c r="AI52" s="4795"/>
      <c r="AJ52" s="4714">
        <v>1</v>
      </c>
      <c r="AK52" s="4830" t="s">
        <v>24</v>
      </c>
      <c r="AL52" s="4608" t="s">
        <v>65</v>
      </c>
      <c r="AM52" s="4704"/>
      <c r="AN52" s="4714">
        <v>1</v>
      </c>
      <c r="AO52" s="4824"/>
      <c r="AP52" s="4825" t="s">
        <v>65</v>
      </c>
      <c r="AQ52" s="232"/>
      <c r="AR52" s="1397">
        <v>1</v>
      </c>
      <c r="AS52" s="1403" t="s">
        <v>24</v>
      </c>
      <c r="AT52" s="669"/>
      <c r="AU52" s="1177"/>
      <c r="AV52" s="669"/>
      <c r="AW52" s="1177"/>
      <c r="AX52" s="1645"/>
      <c r="AY52" s="1381" t="s">
        <v>65</v>
      </c>
      <c r="AZ52" s="1645"/>
      <c r="BA52" s="1381" t="s">
        <v>65</v>
      </c>
      <c r="BB52" s="1266"/>
      <c r="BC52" s="4754" t="s">
        <v>637</v>
      </c>
      <c r="BE52" s="427"/>
      <c r="BF52" s="427" t="str">
        <f t="shared" si="3"/>
        <v/>
      </c>
      <c r="BG52" s="427"/>
      <c r="BH52" s="427"/>
    </row>
    <row r="53" spans="1:60" ht="11.25" customHeight="1">
      <c r="A53" s="1280"/>
      <c r="B53" s="1280"/>
      <c r="C53" s="1280"/>
      <c r="D53" s="1280"/>
      <c r="E53" s="4760"/>
      <c r="F53" s="4760"/>
      <c r="G53" s="4760"/>
      <c r="H53" s="4760"/>
      <c r="I53" s="4780"/>
      <c r="J53" s="4780"/>
      <c r="K53" s="4757"/>
      <c r="L53" s="1281"/>
      <c r="P53" s="4758"/>
      <c r="Q53" s="4758"/>
      <c r="R53" s="283"/>
      <c r="S53" s="4810"/>
      <c r="T53" s="4828"/>
      <c r="U53" s="219"/>
      <c r="V53" s="1310"/>
      <c r="W53" s="1407"/>
      <c r="X53" s="1310"/>
      <c r="Y53" s="1407"/>
      <c r="Z53" s="1310"/>
      <c r="AA53" s="1310"/>
      <c r="AB53" s="1310"/>
      <c r="AC53" s="1310"/>
      <c r="AD53" s="4685"/>
      <c r="AE53" s="4795"/>
      <c r="AF53" s="4714"/>
      <c r="AG53" s="4831"/>
      <c r="AH53" s="4608"/>
      <c r="AI53" s="4795"/>
      <c r="AJ53" s="4714"/>
      <c r="AK53" s="4830"/>
      <c r="AL53" s="4608"/>
      <c r="AM53" s="4709"/>
      <c r="AN53" s="4714"/>
      <c r="AO53" s="4824"/>
      <c r="AP53" s="4826"/>
      <c r="AQ53" s="239"/>
      <c r="AR53" s="351"/>
      <c r="AS53" s="351" t="s">
        <v>638</v>
      </c>
      <c r="AT53" s="1310"/>
      <c r="AU53" s="1407"/>
      <c r="AV53" s="1310"/>
      <c r="AW53" s="1407"/>
      <c r="AX53" s="1310"/>
      <c r="AY53" s="1310"/>
      <c r="AZ53" s="1310"/>
      <c r="BA53" s="1310"/>
      <c r="BB53" s="1314"/>
      <c r="BC53" s="4755"/>
      <c r="BE53" s="427"/>
      <c r="BF53" s="427"/>
      <c r="BG53" s="427"/>
      <c r="BH53" s="427"/>
    </row>
    <row r="54" spans="1:60" ht="11.25" customHeight="1">
      <c r="A54" s="1280" t="s">
        <v>415</v>
      </c>
      <c r="B54" s="1280"/>
      <c r="C54" s="1280"/>
      <c r="D54" s="1280"/>
      <c r="E54" s="4760"/>
      <c r="F54" s="4760"/>
      <c r="G54" s="4760"/>
      <c r="H54" s="4760"/>
      <c r="I54" s="4780"/>
      <c r="J54" s="4780"/>
      <c r="K54" s="4757"/>
      <c r="L54" s="1281"/>
      <c r="P54" s="4758"/>
      <c r="Q54" s="4758"/>
      <c r="R54" s="283"/>
      <c r="S54" s="4810"/>
      <c r="T54" s="4828"/>
      <c r="U54" s="219"/>
      <c r="V54" s="1310"/>
      <c r="W54" s="1407"/>
      <c r="X54" s="1310"/>
      <c r="Y54" s="1407"/>
      <c r="Z54" s="1310"/>
      <c r="AA54" s="1310"/>
      <c r="AB54" s="1310"/>
      <c r="AC54" s="1310"/>
      <c r="AD54" s="4685"/>
      <c r="AE54" s="4795"/>
      <c r="AF54" s="4714"/>
      <c r="AG54" s="4831"/>
      <c r="AH54" s="4608"/>
      <c r="AI54" s="4795"/>
      <c r="AJ54" s="4714"/>
      <c r="AK54" s="4830"/>
      <c r="AL54" s="4608"/>
      <c r="AM54" s="239"/>
      <c r="AN54" s="1411"/>
      <c r="AO54" s="1411" t="s">
        <v>663</v>
      </c>
      <c r="AP54" s="351"/>
      <c r="AQ54" s="351"/>
      <c r="AR54" s="351"/>
      <c r="AS54" s="1310"/>
      <c r="AT54" s="1310"/>
      <c r="AU54" s="1407"/>
      <c r="AV54" s="1310"/>
      <c r="AW54" s="1407"/>
      <c r="AX54" s="1310"/>
      <c r="AY54" s="1310"/>
      <c r="AZ54" s="1310"/>
      <c r="BA54" s="1310"/>
      <c r="BB54" s="1314"/>
      <c r="BC54" s="4755"/>
      <c r="BE54" s="427"/>
      <c r="BF54" s="427"/>
      <c r="BG54" s="427"/>
      <c r="BH54" s="427"/>
    </row>
    <row r="55" spans="1:60" ht="11.25" customHeight="1">
      <c r="A55" s="1280" t="s">
        <v>415</v>
      </c>
      <c r="B55" s="1280"/>
      <c r="C55" s="1280"/>
      <c r="D55" s="1280"/>
      <c r="E55" s="4760"/>
      <c r="F55" s="4760"/>
      <c r="G55" s="4760"/>
      <c r="H55" s="4760"/>
      <c r="I55" s="4780"/>
      <c r="J55" s="4780"/>
      <c r="K55" s="4757"/>
      <c r="L55" s="1281"/>
      <c r="P55" s="4758"/>
      <c r="Q55" s="4758"/>
      <c r="R55" s="283"/>
      <c r="S55" s="4810"/>
      <c r="T55" s="4828"/>
      <c r="U55" s="219"/>
      <c r="V55" s="1310"/>
      <c r="W55" s="1407"/>
      <c r="X55" s="1310"/>
      <c r="Y55" s="1407"/>
      <c r="Z55" s="1310"/>
      <c r="AA55" s="1310"/>
      <c r="AB55" s="1310"/>
      <c r="AC55" s="1310"/>
      <c r="AD55" s="4685"/>
      <c r="AE55" s="4795"/>
      <c r="AF55" s="4714"/>
      <c r="AG55" s="4831"/>
      <c r="AH55" s="4608"/>
      <c r="AI55" s="213"/>
      <c r="AJ55" s="350"/>
      <c r="AK55" s="234" t="s">
        <v>664</v>
      </c>
      <c r="AL55" s="1310"/>
      <c r="AM55" s="1310"/>
      <c r="AN55" s="1310"/>
      <c r="AO55" s="1310"/>
      <c r="AP55" s="1310"/>
      <c r="AQ55" s="1310"/>
      <c r="AR55" s="1310"/>
      <c r="AS55" s="1310"/>
      <c r="AT55" s="1310"/>
      <c r="AU55" s="1407"/>
      <c r="AV55" s="1310"/>
      <c r="AW55" s="1407"/>
      <c r="AX55" s="1310"/>
      <c r="AY55" s="1310"/>
      <c r="AZ55" s="1310"/>
      <c r="BA55" s="1310"/>
      <c r="BB55" s="1314"/>
      <c r="BC55" s="4755"/>
      <c r="BE55" s="427"/>
      <c r="BF55" s="427"/>
      <c r="BG55" s="427"/>
      <c r="BH55" s="427"/>
    </row>
    <row r="56" spans="1:60" ht="11.25" customHeight="1">
      <c r="A56" s="1280" t="s">
        <v>415</v>
      </c>
      <c r="B56" s="1280" t="s">
        <v>416</v>
      </c>
      <c r="C56" s="1280" t="s">
        <v>417</v>
      </c>
      <c r="D56" s="1280" t="s">
        <v>670</v>
      </c>
      <c r="E56" s="4760"/>
      <c r="F56" s="4760"/>
      <c r="G56" s="4760"/>
      <c r="H56" s="4760"/>
      <c r="I56" s="4780"/>
      <c r="J56" s="4780"/>
      <c r="K56" s="4757"/>
      <c r="L56" s="1281"/>
      <c r="P56" s="4758"/>
      <c r="Q56" s="4758"/>
      <c r="R56" s="283"/>
      <c r="S56" s="4811"/>
      <c r="T56" s="4829"/>
      <c r="U56" s="219"/>
      <c r="V56" s="1310"/>
      <c r="W56" s="1311" t="str">
        <f>Z52&amp;"-"&amp;AB52</f>
        <v>-</v>
      </c>
      <c r="X56" s="1310"/>
      <c r="Y56" s="1311" t="str">
        <f>AB52&amp;"-"&amp;AD52</f>
        <v>-да</v>
      </c>
      <c r="Z56" s="1310"/>
      <c r="AA56" s="1310"/>
      <c r="AB56" s="1310"/>
      <c r="AC56" s="1310"/>
      <c r="AD56" s="4613"/>
      <c r="AE56" s="233"/>
      <c r="AF56" s="235"/>
      <c r="AG56" s="351" t="s">
        <v>641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4755"/>
      <c r="BE56" s="427"/>
      <c r="BF56" s="427" t="str">
        <f t="shared" ref="BF56:BF63" si="4">IF(T56="","",T56)</f>
        <v/>
      </c>
      <c r="BG56" s="427"/>
      <c r="BH56" s="427"/>
    </row>
    <row r="57" spans="1:60" ht="11.25" customHeight="1">
      <c r="A57" s="1280" t="s">
        <v>415</v>
      </c>
      <c r="B57" s="1280" t="s">
        <v>416</v>
      </c>
      <c r="C57" s="1280" t="s">
        <v>417</v>
      </c>
      <c r="D57" s="1280" t="s">
        <v>670</v>
      </c>
      <c r="E57" s="4760"/>
      <c r="F57" s="4760"/>
      <c r="G57" s="4760"/>
      <c r="H57" s="4760"/>
      <c r="I57" s="4780"/>
      <c r="J57" s="4757"/>
      <c r="K57" s="1280"/>
      <c r="L57" s="1281"/>
      <c r="P57" s="4758"/>
      <c r="Q57" s="4758"/>
      <c r="R57" s="282"/>
      <c r="S57" s="1199"/>
      <c r="T57" s="206" t="s">
        <v>605</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4756"/>
      <c r="BE57" s="427"/>
      <c r="BF57" s="427" t="str">
        <f t="shared" si="4"/>
        <v>Добавить строку</v>
      </c>
      <c r="BG57" s="427"/>
      <c r="BH57" s="427"/>
    </row>
    <row r="58" spans="1:60" s="1821" customFormat="1" ht="0" hidden="1" customHeight="1">
      <c r="A58" s="1261" t="s">
        <v>415</v>
      </c>
      <c r="B58" s="1261" t="s">
        <v>416</v>
      </c>
      <c r="C58" s="1261" t="s">
        <v>417</v>
      </c>
      <c r="D58" s="1261" t="s">
        <v>670</v>
      </c>
      <c r="E58" s="4760"/>
      <c r="F58" s="4760"/>
      <c r="G58" s="4760"/>
      <c r="H58" s="4760"/>
      <c r="I58" s="4757"/>
      <c r="J58" s="1261"/>
      <c r="K58" s="1261"/>
      <c r="L58" s="1264"/>
      <c r="M58" s="437"/>
      <c r="N58" s="437"/>
      <c r="O58" s="437"/>
      <c r="P58" s="4758"/>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1" customFormat="1" ht="0" hidden="1" customHeight="1">
      <c r="A59" s="1261" t="s">
        <v>415</v>
      </c>
      <c r="B59" s="1261" t="s">
        <v>416</v>
      </c>
      <c r="C59" s="1261" t="s">
        <v>417</v>
      </c>
      <c r="D59" s="1261" t="s">
        <v>670</v>
      </c>
      <c r="E59" s="4760"/>
      <c r="F59" s="4760"/>
      <c r="G59" s="4760"/>
      <c r="H59" s="4759"/>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46" customFormat="1" ht="0" hidden="1" customHeight="1">
      <c r="A60" s="1261" t="s">
        <v>415</v>
      </c>
      <c r="B60" s="1261" t="s">
        <v>416</v>
      </c>
      <c r="C60" s="1261" t="s">
        <v>417</v>
      </c>
      <c r="D60" s="1233"/>
      <c r="E60" s="4760"/>
      <c r="F60" s="4760"/>
      <c r="G60" s="4759"/>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46" customFormat="1" ht="0" hidden="1" customHeight="1">
      <c r="A61" s="1261" t="s">
        <v>415</v>
      </c>
      <c r="B61" s="1261" t="s">
        <v>416</v>
      </c>
      <c r="C61" s="1233"/>
      <c r="D61" s="1233"/>
      <c r="E61" s="4760"/>
      <c r="F61" s="4759"/>
      <c r="G61" s="1233"/>
      <c r="H61" s="1233"/>
      <c r="I61" s="1233"/>
      <c r="J61" s="1233"/>
      <c r="K61" s="1233"/>
      <c r="L61" s="1405"/>
      <c r="M61" s="1240"/>
      <c r="N61" s="1240"/>
      <c r="P61" s="1235"/>
      <c r="Q61" s="1236"/>
      <c r="R61" s="1235"/>
      <c r="S61" s="1241"/>
      <c r="T61" s="1244" t="s">
        <v>316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1" customFormat="1" ht="0" hidden="1" customHeight="1">
      <c r="A62" s="1261" t="s">
        <v>415</v>
      </c>
      <c r="B62" s="1261"/>
      <c r="C62" s="1261"/>
      <c r="D62" s="1261"/>
      <c r="E62" s="4759"/>
      <c r="F62" s="1261"/>
      <c r="G62" s="1261"/>
      <c r="H62" s="1261"/>
      <c r="I62" s="1261"/>
      <c r="J62" s="1261"/>
      <c r="K62" s="1261"/>
      <c r="L62" s="1264"/>
      <c r="M62" s="1240"/>
      <c r="N62" s="1240"/>
      <c r="O62" s="445"/>
      <c r="P62" s="314"/>
      <c r="Q62" s="1262"/>
      <c r="R62" s="314"/>
      <c r="S62" s="1241"/>
      <c r="T62" s="1244" t="s">
        <v>317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46"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407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4.25" customHeight="1">
      <c r="O65" s="463"/>
      <c r="S65" s="1165"/>
      <c r="T65" s="4779"/>
      <c r="U65" s="4779"/>
      <c r="V65" s="4779"/>
      <c r="W65" s="4779"/>
      <c r="X65" s="4779"/>
      <c r="Y65" s="4779"/>
      <c r="Z65" s="4779"/>
      <c r="AA65" s="4779"/>
      <c r="AB65" s="4779"/>
      <c r="AC65" s="4779"/>
      <c r="AD65" s="4779"/>
      <c r="AE65" s="4779"/>
      <c r="AF65" s="4779"/>
      <c r="AG65" s="4779"/>
      <c r="AH65" s="4779"/>
      <c r="AI65" s="4779"/>
      <c r="AJ65" s="4779"/>
      <c r="AK65" s="4779"/>
      <c r="AL65" s="4779"/>
      <c r="AM65" s="4779"/>
      <c r="AN65" s="4779"/>
      <c r="AO65" s="4779"/>
      <c r="AP65" s="4779"/>
      <c r="AQ65" s="4779"/>
      <c r="AR65" s="4779"/>
      <c r="AS65" s="4779"/>
      <c r="AT65" s="4779"/>
      <c r="AU65" s="4779"/>
      <c r="AV65" s="4779"/>
      <c r="AW65" s="4779"/>
      <c r="AX65" s="4779"/>
      <c r="AY65" s="4779"/>
      <c r="AZ65" s="4779"/>
      <c r="BA65" s="4779"/>
      <c r="BB65" s="4779"/>
      <c r="BC65" s="4779"/>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4.25" customHeight="1">
      <c r="O67" s="463"/>
      <c r="S67" s="1165"/>
      <c r="T67" s="4779"/>
      <c r="U67" s="4779"/>
      <c r="V67" s="4779"/>
      <c r="W67" s="4779"/>
      <c r="X67" s="4779"/>
      <c r="Y67" s="4779"/>
      <c r="Z67" s="4779"/>
      <c r="AA67" s="4779"/>
      <c r="AB67" s="4779"/>
      <c r="AC67" s="4779"/>
      <c r="AD67" s="4779"/>
      <c r="AE67" s="4779"/>
      <c r="AF67" s="4779"/>
      <c r="AG67" s="4779"/>
      <c r="AH67" s="4779"/>
      <c r="AI67" s="4779"/>
      <c r="AJ67" s="4779"/>
      <c r="AK67" s="4779"/>
      <c r="AL67" s="4779"/>
      <c r="AM67" s="4779"/>
      <c r="AN67" s="4779"/>
      <c r="AO67" s="4779"/>
      <c r="AP67" s="4779"/>
      <c r="AQ67" s="4779"/>
      <c r="AR67" s="4779"/>
      <c r="AS67" s="4779"/>
      <c r="AT67" s="4779"/>
      <c r="AU67" s="4779"/>
      <c r="AV67" s="4779"/>
      <c r="AW67" s="4779"/>
      <c r="AX67" s="4779"/>
      <c r="AY67" s="4779"/>
      <c r="AZ67" s="4779"/>
      <c r="BA67" s="4779"/>
      <c r="BB67" s="4779"/>
      <c r="BC67" s="4779"/>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5" hidden="1" customWidth="1"/>
    <col min="13" max="14" width="12.28515625" style="1948" hidden="1" customWidth="1"/>
    <col min="15" max="15" width="23.42578125" style="1948" hidden="1" customWidth="1"/>
    <col min="16" max="16" width="3.7109375" style="4066"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404"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98"/>
      <c r="Q3" s="278"/>
      <c r="R3" s="279"/>
      <c r="S3" s="1404"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404" t="e">
        <f>INDEX(PT_DIFFERENTIATION_NUM_CS,MATCH(C4,PT_DIFFERENTIATION_CS_ID,0))</f>
        <v>#N/A</v>
      </c>
      <c r="T4" s="230" t="s">
        <v>671</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672</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92"/>
      <c r="R5" s="282"/>
      <c r="S5" s="1404"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404"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404"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401"/>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92"/>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405"/>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89"/>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89"/>
      <c r="M19" s="1279"/>
      <c r="N19" s="1279"/>
      <c r="O19" s="1279"/>
      <c r="P19" s="1279"/>
      <c r="Q19" s="1288"/>
      <c r="R19" s="1288"/>
      <c r="S19" s="649"/>
      <c r="AB19" s="1283"/>
      <c r="AI19" s="1283"/>
      <c r="AL19" s="438"/>
      <c r="AM19" s="438"/>
      <c r="AN19" s="438"/>
      <c r="AO19" s="438"/>
      <c r="AP19" s="438"/>
    </row>
    <row r="20" spans="1:42" s="1835" customFormat="1" ht="12" hidden="1" customHeight="1">
      <c r="L20" s="1389"/>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9.25" customHeight="1">
      <c r="Q24" s="306"/>
      <c r="R24" s="306"/>
      <c r="S24" s="474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hidden="1"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hidden="1"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94" t="s">
        <v>673</v>
      </c>
      <c r="W38" s="4598" t="s">
        <v>674</v>
      </c>
      <c r="X38" s="4597"/>
      <c r="Y38" s="4598" t="s">
        <v>575</v>
      </c>
      <c r="Z38" s="4604"/>
      <c r="AA38" s="4597"/>
      <c r="AB38" s="4772"/>
      <c r="AC38" s="1394" t="s">
        <v>673</v>
      </c>
      <c r="AD38" s="4598" t="s">
        <v>674</v>
      </c>
      <c r="AE38" s="4597"/>
      <c r="AF38" s="4598" t="s">
        <v>575</v>
      </c>
      <c r="AG38" s="4604"/>
      <c r="AH38" s="4597"/>
      <c r="AI38" s="4772"/>
      <c r="AJ38" s="4775"/>
      <c r="AK38" s="4627"/>
    </row>
    <row r="39" spans="1:42" ht="86.2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94" t="s">
        <v>675</v>
      </c>
      <c r="W39" s="1129" t="s">
        <v>676</v>
      </c>
      <c r="X39" s="1129" t="s">
        <v>677</v>
      </c>
      <c r="Y39" s="1400" t="s">
        <v>585</v>
      </c>
      <c r="Z39" s="4727" t="s">
        <v>586</v>
      </c>
      <c r="AA39" s="4729"/>
      <c r="AB39" s="4773"/>
      <c r="AC39" s="1394" t="s">
        <v>675</v>
      </c>
      <c r="AD39" s="1129" t="s">
        <v>676</v>
      </c>
      <c r="AE39" s="1129" t="s">
        <v>677</v>
      </c>
      <c r="AF39" s="1400" t="s">
        <v>585</v>
      </c>
      <c r="AG39" s="4727" t="s">
        <v>586</v>
      </c>
      <c r="AH39" s="4729"/>
      <c r="AI39" s="4773"/>
      <c r="AJ39" s="4776"/>
      <c r="AK39" s="4627"/>
    </row>
    <row r="40" spans="1:42" s="1820"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93">
        <f ca="1">OFFSET(V40,0,-1)+1</f>
        <v>3</v>
      </c>
      <c r="W40" s="1393">
        <f ca="1">OFFSET(W40,0,-1)+1</f>
        <v>4</v>
      </c>
      <c r="X40" s="1393">
        <f ca="1">OFFSET(X40,0,-1)+1</f>
        <v>5</v>
      </c>
      <c r="Y40" s="1393">
        <f ca="1">OFFSET(Y40,0,-1)+1</f>
        <v>6</v>
      </c>
      <c r="Z40" s="4766">
        <f ca="1">OFFSET(Z40,0,-1)+1</f>
        <v>7</v>
      </c>
      <c r="AA40" s="4766"/>
      <c r="AB40" s="1393">
        <f ca="1">OFFSET(AB40,0,-2)+1</f>
        <v>8</v>
      </c>
      <c r="AC40" s="1393">
        <f ca="1">OFFSET(AC40,0,-1)+1</f>
        <v>9</v>
      </c>
      <c r="AD40" s="1393">
        <f ca="1">OFFSET(AD40,0,-1)+1</f>
        <v>10</v>
      </c>
      <c r="AE40" s="1393">
        <f ca="1">OFFSET(AE40,0,-1)+1</f>
        <v>11</v>
      </c>
      <c r="AF40" s="1393">
        <f ca="1">OFFSET(AF40,0,-1)+1</f>
        <v>12</v>
      </c>
      <c r="AG40" s="4766">
        <f ca="1">OFFSET(AG40,0,-1)+1</f>
        <v>13</v>
      </c>
      <c r="AH40" s="4766"/>
      <c r="AI40" s="1393">
        <f ca="1">OFFSET(AI40,0,-2)+1</f>
        <v>14</v>
      </c>
      <c r="AJ40" s="1155">
        <f ca="1">OFFSET(AJ40,0,-1)</f>
        <v>14</v>
      </c>
      <c r="AK40" s="1393">
        <f ca="1">OFFSET(AK40,0,-1)+1</f>
        <v>15</v>
      </c>
      <c r="AL40" s="438"/>
      <c r="AM40" s="438"/>
      <c r="AN40" s="438"/>
      <c r="AO40" s="438"/>
      <c r="AP40" s="438"/>
    </row>
    <row r="41" spans="1:42" ht="23.25" customHeight="1">
      <c r="A41" s="1280" t="s">
        <v>296</v>
      </c>
      <c r="B41" s="1280"/>
      <c r="C41" s="1280"/>
      <c r="D41" s="1280"/>
      <c r="E41" s="475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296</v>
      </c>
      <c r="B42" s="1280" t="s">
        <v>297</v>
      </c>
      <c r="C42" s="1280"/>
      <c r="D42" s="1280"/>
      <c r="E42" s="4760"/>
      <c r="F42" s="4759">
        <v>1</v>
      </c>
      <c r="G42" s="1280"/>
      <c r="H42" s="1280"/>
      <c r="I42" s="1280"/>
      <c r="J42" s="1280"/>
      <c r="K42" s="1280"/>
      <c r="L42" s="1281"/>
      <c r="M42" s="1282"/>
      <c r="N42" s="1282"/>
      <c r="O42" s="1282"/>
      <c r="P42" s="1398"/>
      <c r="Q42" s="278"/>
      <c r="R42" s="279"/>
      <c r="S42" s="1404"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296</v>
      </c>
      <c r="B43" s="1280" t="s">
        <v>297</v>
      </c>
      <c r="C43" s="1280" t="s">
        <v>298</v>
      </c>
      <c r="D43" s="1280"/>
      <c r="E43" s="4760"/>
      <c r="F43" s="4760"/>
      <c r="G43" s="4759">
        <v>1</v>
      </c>
      <c r="H43" s="1280"/>
      <c r="I43" s="1280"/>
      <c r="J43" s="1280"/>
      <c r="K43" s="1280"/>
      <c r="L43" s="1281"/>
      <c r="M43" s="1282"/>
      <c r="N43" s="1282"/>
      <c r="O43" s="1282"/>
      <c r="P43" s="280"/>
      <c r="Q43" s="278"/>
      <c r="R43" s="279"/>
      <c r="S43" s="1404" t="str">
        <f>INDEX(PT_DIFFERENTIATION_NUM_CS,MATCH(C43,PT_DIFFERENTIATION_CS_ID,0))</f>
        <v>..</v>
      </c>
      <c r="T43" s="230" t="s">
        <v>671</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672</v>
      </c>
      <c r="AM43" s="427"/>
      <c r="AN43" s="427" t="str">
        <f t="shared" si="1"/>
        <v>Наименование централизованной системы горячего водоснабжения</v>
      </c>
      <c r="AO43" s="427"/>
      <c r="AP43" s="427"/>
    </row>
    <row r="44" spans="1:42" ht="23.25" customHeight="1">
      <c r="A44" s="1280" t="s">
        <v>296</v>
      </c>
      <c r="B44" s="1280" t="s">
        <v>297</v>
      </c>
      <c r="C44" s="1280" t="s">
        <v>298</v>
      </c>
      <c r="D44" s="1280" t="s">
        <v>678</v>
      </c>
      <c r="E44" s="4760"/>
      <c r="F44" s="4760"/>
      <c r="G44" s="4760"/>
      <c r="H44" s="4760"/>
      <c r="I44" s="4757" t="str">
        <f>S43&amp;".1"</f>
        <v>...1</v>
      </c>
      <c r="J44" s="1280"/>
      <c r="K44" s="1280"/>
      <c r="L44" s="1281"/>
      <c r="P44" s="4758">
        <v>1</v>
      </c>
      <c r="Q44" s="1392"/>
      <c r="R44" s="282"/>
      <c r="S44" s="1404"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296</v>
      </c>
      <c r="B45" s="1280" t="s">
        <v>297</v>
      </c>
      <c r="C45" s="1280" t="s">
        <v>298</v>
      </c>
      <c r="D45" s="1280" t="s">
        <v>678</v>
      </c>
      <c r="E45" s="4760"/>
      <c r="F45" s="4760"/>
      <c r="G45" s="4760"/>
      <c r="H45" s="4760"/>
      <c r="I45" s="4780"/>
      <c r="J45" s="4757" t="str">
        <f>I44&amp;".1"</f>
        <v>...1.1</v>
      </c>
      <c r="K45" s="1280"/>
      <c r="L45" s="1281" t="s">
        <v>547</v>
      </c>
      <c r="P45" s="4758"/>
      <c r="Q45" s="4758">
        <v>1</v>
      </c>
      <c r="R45" s="283"/>
      <c r="S45" s="1404"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296</v>
      </c>
      <c r="B46" s="1280" t="s">
        <v>297</v>
      </c>
      <c r="C46" s="1280" t="s">
        <v>298</v>
      </c>
      <c r="D46" s="1280" t="s">
        <v>678</v>
      </c>
      <c r="E46" s="4760"/>
      <c r="F46" s="4760"/>
      <c r="G46" s="4760"/>
      <c r="H46" s="4760"/>
      <c r="I46" s="4780"/>
      <c r="J46" s="4780"/>
      <c r="K46" s="4757" t="str">
        <f>J45&amp;".1"</f>
        <v>...1.1.1</v>
      </c>
      <c r="L46" s="1281"/>
      <c r="P46" s="4758"/>
      <c r="Q46" s="4758"/>
      <c r="R46" s="283">
        <v>1</v>
      </c>
      <c r="S46" s="1404" t="str">
        <f>$K46</f>
        <v>...1.1.1</v>
      </c>
      <c r="T46" s="1353"/>
      <c r="U46" s="219"/>
      <c r="V46" s="1277"/>
      <c r="W46" s="1277"/>
      <c r="X46" s="1278"/>
      <c r="Y46" s="4764"/>
      <c r="Z46" s="4765" t="s">
        <v>65</v>
      </c>
      <c r="AA46" s="4764"/>
      <c r="AB46" s="4765" t="s">
        <v>65</v>
      </c>
      <c r="AC46" s="669"/>
      <c r="AD46" s="669"/>
      <c r="AE46" s="1177"/>
      <c r="AF46" s="4762"/>
      <c r="AG46" s="4608" t="s">
        <v>65</v>
      </c>
      <c r="AH46" s="4781"/>
      <c r="AI46" s="4608" t="s">
        <v>55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296</v>
      </c>
      <c r="B47" s="1280" t="s">
        <v>297</v>
      </c>
      <c r="C47" s="1280" t="s">
        <v>298</v>
      </c>
      <c r="D47" s="1280" t="s">
        <v>678</v>
      </c>
      <c r="E47" s="4760"/>
      <c r="F47" s="4760"/>
      <c r="G47" s="4760"/>
      <c r="H47" s="4760"/>
      <c r="I47" s="4780"/>
      <c r="J47" s="4780"/>
      <c r="K47" s="4757"/>
      <c r="L47" s="1281"/>
      <c r="P47" s="4758"/>
      <c r="Q47" s="4758"/>
      <c r="R47" s="283"/>
      <c r="S47" s="1401"/>
      <c r="T47" s="219"/>
      <c r="U47" s="219"/>
      <c r="V47" s="1277"/>
      <c r="W47" s="1277"/>
      <c r="X47" s="255" t="str">
        <f>Y46&amp;"-"&amp;AA46</f>
        <v>-</v>
      </c>
      <c r="Y47" s="4765"/>
      <c r="Z47" s="4765"/>
      <c r="AA47" s="4765"/>
      <c r="AB47" s="4765"/>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296</v>
      </c>
      <c r="B48" s="1280" t="s">
        <v>297</v>
      </c>
      <c r="C48" s="1280" t="s">
        <v>298</v>
      </c>
      <c r="D48" s="1280" t="s">
        <v>678</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296</v>
      </c>
      <c r="B49" s="1280" t="s">
        <v>297</v>
      </c>
      <c r="C49" s="1280" t="s">
        <v>298</v>
      </c>
      <c r="D49" s="1280" t="s">
        <v>678</v>
      </c>
      <c r="E49" s="4760"/>
      <c r="F49" s="4760"/>
      <c r="G49" s="4760"/>
      <c r="H49" s="4760"/>
      <c r="I49" s="4757"/>
      <c r="J49" s="1280"/>
      <c r="K49" s="1280"/>
      <c r="L49" s="1281"/>
      <c r="P49" s="4758"/>
      <c r="Q49" s="1392"/>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296</v>
      </c>
      <c r="B50" s="1280" t="s">
        <v>297</v>
      </c>
      <c r="C50" s="1280" t="s">
        <v>298</v>
      </c>
      <c r="D50" s="1280" t="s">
        <v>678</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296</v>
      </c>
      <c r="B51" s="1261" t="s">
        <v>297</v>
      </c>
      <c r="C51" s="1233"/>
      <c r="D51" s="1233"/>
      <c r="E51" s="4760"/>
      <c r="F51" s="4759"/>
      <c r="G51" s="1233"/>
      <c r="H51" s="1233"/>
      <c r="I51" s="1233"/>
      <c r="J51" s="1233"/>
      <c r="K51" s="1233"/>
      <c r="L51" s="1405"/>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296</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4.140625" style="1835" hidden="1" customWidth="1"/>
    <col min="10" max="10" width="9.85546875" style="1835" hidden="1" customWidth="1"/>
    <col min="11" max="11" width="14.7109375" style="1835" hidden="1" customWidth="1"/>
    <col min="12" max="12" width="19.140625" style="1965" hidden="1" customWidth="1"/>
    <col min="13" max="14" width="12.28515625" style="1948" hidden="1" customWidth="1"/>
    <col min="15" max="15" width="23.42578125" style="1948" hidden="1" customWidth="1"/>
    <col min="16" max="16" width="3.7109375" style="4066" customWidth="1"/>
    <col min="17" max="18" width="3.7109375" style="1954" customWidth="1"/>
    <col min="19" max="19" width="12.7109375" style="1955" customWidth="1"/>
    <col min="20" max="20" width="35.7109375" style="1921" customWidth="1"/>
    <col min="21" max="21" width="0.140625" style="1921" customWidth="1"/>
    <col min="22" max="24" width="24.7109375" style="1921" hidden="1" customWidth="1"/>
    <col min="25" max="25" width="11.7109375" style="1921" hidden="1" customWidth="1"/>
    <col min="26" max="26" width="3.7109375" style="1921" hidden="1" customWidth="1"/>
    <col min="27" max="27" width="11.7109375" style="1921" hidden="1" customWidth="1"/>
    <col min="28" max="28" width="8.5703125" style="1921" hidden="1" customWidth="1"/>
    <col min="29" max="31" width="24.7109375" style="1921" customWidth="1"/>
    <col min="32" max="32" width="11.7109375" style="1921" customWidth="1"/>
    <col min="33" max="33" width="3.7109375" style="1921" customWidth="1"/>
    <col min="34" max="34" width="11.7109375" style="1921" customWidth="1"/>
    <col min="35" max="35" width="8.5703125" style="1921" hidden="1" customWidth="1"/>
    <col min="36" max="36" width="4.7109375" style="1921" customWidth="1"/>
    <col min="37" max="37" width="115.7109375" style="1921"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80"/>
      <c r="B2" s="1280"/>
      <c r="C2" s="1280"/>
      <c r="D2" s="1280"/>
      <c r="E2" s="4759">
        <v>1</v>
      </c>
      <c r="F2" s="1280"/>
      <c r="G2" s="1280"/>
      <c r="H2" s="1280"/>
      <c r="I2" s="1280"/>
      <c r="J2" s="1280"/>
      <c r="K2" s="1280"/>
      <c r="L2" s="1281"/>
      <c r="M2" s="1282"/>
      <c r="N2" s="1282"/>
      <c r="O2" s="1282"/>
      <c r="P2" s="287"/>
      <c r="Q2" s="286"/>
      <c r="R2" s="281"/>
      <c r="S2" s="1404" t="e">
        <f>INDEX(PT_DIFFERENTIATION_NUM_NTAR,MATCH(A2,PT_DIFFERENTIATION_NTAR_ID,0))</f>
        <v>#N/A</v>
      </c>
      <c r="T2" s="217" t="s">
        <v>185</v>
      </c>
      <c r="U2" s="219"/>
      <c r="V2" s="4745"/>
      <c r="W2" s="4746"/>
      <c r="X2" s="4746"/>
      <c r="Y2" s="4746"/>
      <c r="Z2" s="4746"/>
      <c r="AA2" s="4746"/>
      <c r="AB2" s="4747"/>
      <c r="AC2" s="4745" t="e">
        <f>INDEX(PT_DIFFERENTIATION_NTAR,MATCH(A2,PT_DIFFERENTIATION_NTAR_ID,0))</f>
        <v>#N/A</v>
      </c>
      <c r="AD2" s="4746"/>
      <c r="AE2" s="4746"/>
      <c r="AF2" s="4746"/>
      <c r="AG2" s="4746"/>
      <c r="AH2" s="4746"/>
      <c r="AI2" s="4746"/>
      <c r="AJ2" s="474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4760"/>
      <c r="F3" s="4759">
        <v>1</v>
      </c>
      <c r="G3" s="1280"/>
      <c r="H3" s="1280"/>
      <c r="I3" s="1280"/>
      <c r="J3" s="1280"/>
      <c r="K3" s="1280"/>
      <c r="L3" s="1281"/>
      <c r="M3" s="1282"/>
      <c r="N3" s="1282"/>
      <c r="O3" s="1282"/>
      <c r="P3" s="1398"/>
      <c r="Q3" s="278"/>
      <c r="R3" s="279"/>
      <c r="S3" s="1404" t="e">
        <f>INDEX(PT_DIFFERENTIATION_NUM_TER,MATCH(B3,PT_DIFFERENTIATION_TER_ID,0))</f>
        <v>#N/A</v>
      </c>
      <c r="T3" s="229" t="s">
        <v>538</v>
      </c>
      <c r="U3" s="219"/>
      <c r="V3" s="4745"/>
      <c r="W3" s="4746"/>
      <c r="X3" s="4746"/>
      <c r="Y3" s="4746"/>
      <c r="Z3" s="4746"/>
      <c r="AA3" s="4746"/>
      <c r="AB3" s="4747"/>
      <c r="AC3" s="4745" t="e">
        <f>INDEX(PT_DIFFERENTIATION_TER,MATCH(B3,PT_DIFFERENTIATION_TER_ID,0))</f>
        <v>#N/A</v>
      </c>
      <c r="AD3" s="4746"/>
      <c r="AE3" s="4746"/>
      <c r="AF3" s="4746"/>
      <c r="AG3" s="4746"/>
      <c r="AH3" s="4746"/>
      <c r="AI3" s="4746"/>
      <c r="AJ3" s="4747"/>
      <c r="AK3" s="1178" t="s">
        <v>539</v>
      </c>
      <c r="AM3" s="427"/>
      <c r="AN3" s="427" t="str">
        <f t="shared" si="0"/>
        <v>Территория действия тарифа</v>
      </c>
      <c r="AO3" s="427"/>
      <c r="AP3" s="427"/>
    </row>
    <row r="4" spans="1:42" ht="23.25" hidden="1" customHeight="1">
      <c r="A4" s="1280"/>
      <c r="B4" s="1280"/>
      <c r="C4" s="1280"/>
      <c r="D4" s="1280"/>
      <c r="E4" s="4760"/>
      <c r="F4" s="4760"/>
      <c r="G4" s="4759">
        <v>1</v>
      </c>
      <c r="H4" s="1280"/>
      <c r="I4" s="1280"/>
      <c r="J4" s="1280"/>
      <c r="K4" s="1280"/>
      <c r="L4" s="1281"/>
      <c r="M4" s="1282"/>
      <c r="N4" s="1282"/>
      <c r="O4" s="1282"/>
      <c r="P4" s="280"/>
      <c r="Q4" s="278"/>
      <c r="R4" s="279"/>
      <c r="S4" s="1404" t="e">
        <f>INDEX(PT_DIFFERENTIATION_NUM_CS,MATCH(C4,PT_DIFFERENTIATION_CS_ID,0))</f>
        <v>#N/A</v>
      </c>
      <c r="T4" s="230" t="s">
        <v>671</v>
      </c>
      <c r="U4" s="219"/>
      <c r="V4" s="4745"/>
      <c r="W4" s="4746"/>
      <c r="X4" s="4746"/>
      <c r="Y4" s="4746"/>
      <c r="Z4" s="4746"/>
      <c r="AA4" s="4746"/>
      <c r="AB4" s="4747"/>
      <c r="AC4" s="4745" t="e">
        <f>INDEX(PT_DIFFERENTIATION_CS,MATCH(C4,PT_DIFFERENTIATION_CS_ID,0))</f>
        <v>#N/A</v>
      </c>
      <c r="AD4" s="4746"/>
      <c r="AE4" s="4746"/>
      <c r="AF4" s="4746"/>
      <c r="AG4" s="4746"/>
      <c r="AH4" s="4746"/>
      <c r="AI4" s="4746"/>
      <c r="AJ4" s="4747"/>
      <c r="AK4" s="1178" t="s">
        <v>672</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4760"/>
      <c r="F5" s="4760"/>
      <c r="G5" s="4760"/>
      <c r="H5" s="4760"/>
      <c r="I5" s="4757" t="e">
        <f>S4&amp;".1"</f>
        <v>#N/A</v>
      </c>
      <c r="J5" s="1280"/>
      <c r="K5" s="1280"/>
      <c r="L5" s="1281"/>
      <c r="P5" s="4758">
        <v>1</v>
      </c>
      <c r="Q5" s="1392"/>
      <c r="R5" s="282"/>
      <c r="S5" s="1404" t="e">
        <f>$I5</f>
        <v>#N/A</v>
      </c>
      <c r="T5" s="204" t="s">
        <v>621</v>
      </c>
      <c r="U5" s="219"/>
      <c r="V5" s="4818"/>
      <c r="W5" s="4819"/>
      <c r="X5" s="4819"/>
      <c r="Y5" s="4819"/>
      <c r="Z5" s="4819"/>
      <c r="AA5" s="4819"/>
      <c r="AB5" s="4820"/>
      <c r="AC5" s="4821"/>
      <c r="AD5" s="4822"/>
      <c r="AE5" s="4822"/>
      <c r="AF5" s="4822"/>
      <c r="AG5" s="4822"/>
      <c r="AH5" s="4822"/>
      <c r="AI5" s="4822"/>
      <c r="AJ5" s="4823"/>
      <c r="AK5" s="1178" t="s">
        <v>622</v>
      </c>
      <c r="AM5" s="427"/>
      <c r="AN5" s="427" t="str">
        <f t="shared" si="0"/>
        <v>Наименование признака дифференциации</v>
      </c>
      <c r="AO5" s="427"/>
      <c r="AP5" s="427"/>
    </row>
    <row r="6" spans="1:42" ht="23.25" hidden="1" customHeight="1">
      <c r="A6" s="1280"/>
      <c r="B6" s="1280"/>
      <c r="C6" s="1280"/>
      <c r="D6" s="1280"/>
      <c r="E6" s="4760"/>
      <c r="F6" s="4760"/>
      <c r="G6" s="4760"/>
      <c r="H6" s="4760"/>
      <c r="I6" s="4780"/>
      <c r="J6" s="4757" t="e">
        <f>I5&amp;".1"</f>
        <v>#N/A</v>
      </c>
      <c r="K6" s="1280"/>
      <c r="L6" s="1281" t="s">
        <v>547</v>
      </c>
      <c r="P6" s="4758"/>
      <c r="Q6" s="4758">
        <v>1</v>
      </c>
      <c r="R6" s="283"/>
      <c r="S6" s="1404" t="e">
        <f>$J6</f>
        <v>#N/A</v>
      </c>
      <c r="T6" s="205" t="s">
        <v>548</v>
      </c>
      <c r="U6" s="219"/>
      <c r="V6" s="4748"/>
      <c r="W6" s="4749"/>
      <c r="X6" s="4749"/>
      <c r="Y6" s="4749"/>
      <c r="Z6" s="4749"/>
      <c r="AA6" s="4749"/>
      <c r="AB6" s="4750"/>
      <c r="AC6" s="4748"/>
      <c r="AD6" s="4749"/>
      <c r="AE6" s="4749"/>
      <c r="AF6" s="4749"/>
      <c r="AG6" s="4749"/>
      <c r="AH6" s="4749"/>
      <c r="AI6" s="4749"/>
      <c r="AJ6" s="4750"/>
      <c r="AK6" s="1227" t="s">
        <v>623</v>
      </c>
      <c r="AM6" s="427"/>
      <c r="AN6" s="427" t="str">
        <f t="shared" si="0"/>
        <v>Группа потребителей</v>
      </c>
      <c r="AO6" s="427"/>
      <c r="AP6" s="427"/>
    </row>
    <row r="7" spans="1:42" ht="23.25" hidden="1" customHeight="1">
      <c r="A7" s="1280"/>
      <c r="B7" s="1280"/>
      <c r="C7" s="1280"/>
      <c r="D7" s="1280"/>
      <c r="E7" s="4760"/>
      <c r="F7" s="4760"/>
      <c r="G7" s="4760"/>
      <c r="H7" s="4760"/>
      <c r="I7" s="4780"/>
      <c r="J7" s="4780"/>
      <c r="K7" s="4757" t="e">
        <f>J6&amp;".1"</f>
        <v>#N/A</v>
      </c>
      <c r="L7" s="1281"/>
      <c r="P7" s="4758"/>
      <c r="Q7" s="4758"/>
      <c r="R7" s="283">
        <v>1</v>
      </c>
      <c r="S7" s="1404" t="e">
        <f>$K7</f>
        <v>#N/A</v>
      </c>
      <c r="T7" s="1353"/>
      <c r="U7" s="219"/>
      <c r="V7" s="669"/>
      <c r="W7" s="669"/>
      <c r="X7" s="1177"/>
      <c r="Y7" s="4762"/>
      <c r="Z7" s="4608" t="s">
        <v>65</v>
      </c>
      <c r="AA7" s="4762"/>
      <c r="AB7" s="4608" t="s">
        <v>65</v>
      </c>
      <c r="AC7" s="669"/>
      <c r="AD7" s="669"/>
      <c r="AE7" s="1177"/>
      <c r="AF7" s="4762"/>
      <c r="AG7" s="4608" t="s">
        <v>65</v>
      </c>
      <c r="AH7" s="4781"/>
      <c r="AI7" s="4608" t="s">
        <v>65</v>
      </c>
      <c r="AJ7" s="1354"/>
      <c r="AK7"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4760"/>
      <c r="F8" s="4760"/>
      <c r="G8" s="4760"/>
      <c r="H8" s="4760"/>
      <c r="I8" s="4780"/>
      <c r="J8" s="4780"/>
      <c r="K8" s="4757"/>
      <c r="L8" s="1281"/>
      <c r="P8" s="4758"/>
      <c r="Q8" s="4758"/>
      <c r="R8" s="283"/>
      <c r="S8" s="1401"/>
      <c r="T8" s="219"/>
      <c r="U8" s="219"/>
      <c r="V8" s="251"/>
      <c r="W8" s="251"/>
      <c r="X8" s="255" t="str">
        <f>Y7&amp;"-"&amp;AA7</f>
        <v>-</v>
      </c>
      <c r="Y8" s="4763"/>
      <c r="Z8" s="4608"/>
      <c r="AA8" s="4763"/>
      <c r="AB8" s="4608"/>
      <c r="AC8" s="251"/>
      <c r="AD8" s="251"/>
      <c r="AE8" s="255" t="str">
        <f>AF7&amp;"-"&amp;AH7</f>
        <v>-</v>
      </c>
      <c r="AF8" s="4763"/>
      <c r="AG8" s="4608"/>
      <c r="AH8" s="4782"/>
      <c r="AI8" s="4608"/>
      <c r="AJ8" s="1355"/>
      <c r="AK8" s="4817"/>
      <c r="AM8" s="427"/>
      <c r="AN8" s="427" t="str">
        <f t="shared" si="0"/>
        <v/>
      </c>
      <c r="AO8" s="427"/>
      <c r="AP8" s="427"/>
    </row>
    <row r="9" spans="1:42" ht="21" hidden="1" customHeight="1">
      <c r="A9" s="1280"/>
      <c r="B9" s="1280"/>
      <c r="C9" s="1280"/>
      <c r="D9" s="1280"/>
      <c r="E9" s="4760"/>
      <c r="F9" s="4760"/>
      <c r="G9" s="4760"/>
      <c r="H9" s="4760"/>
      <c r="I9" s="4780"/>
      <c r="J9" s="4757"/>
      <c r="K9" s="1280"/>
      <c r="L9" s="1281"/>
      <c r="P9" s="4758"/>
      <c r="Q9" s="4758"/>
      <c r="R9" s="282"/>
      <c r="S9" s="1199"/>
      <c r="T9" s="206" t="s">
        <v>624</v>
      </c>
      <c r="U9" s="296"/>
      <c r="V9" s="296"/>
      <c r="W9" s="296"/>
      <c r="X9" s="296"/>
      <c r="Y9" s="296"/>
      <c r="Z9" s="296"/>
      <c r="AA9" s="296"/>
      <c r="AB9" s="296"/>
      <c r="AC9" s="296"/>
      <c r="AD9" s="296"/>
      <c r="AE9" s="296"/>
      <c r="AF9" s="296"/>
      <c r="AG9" s="296"/>
      <c r="AH9" s="296"/>
      <c r="AI9" s="296"/>
      <c r="AJ9" s="296"/>
      <c r="AK9" s="1178" t="s">
        <v>625</v>
      </c>
      <c r="AM9" s="427"/>
      <c r="AN9" s="427" t="str">
        <f t="shared" si="0"/>
        <v>Добавить значение признака дифференциации</v>
      </c>
      <c r="AO9" s="427"/>
      <c r="AP9" s="427"/>
    </row>
    <row r="10" spans="1:42" ht="21" hidden="1" customHeight="1">
      <c r="A10" s="1280"/>
      <c r="B10" s="1280"/>
      <c r="C10" s="1280"/>
      <c r="D10" s="1280"/>
      <c r="E10" s="4760"/>
      <c r="F10" s="4760"/>
      <c r="G10" s="4760"/>
      <c r="H10" s="4760"/>
      <c r="I10" s="4757"/>
      <c r="J10" s="1280"/>
      <c r="K10" s="1280"/>
      <c r="L10" s="1281"/>
      <c r="P10" s="4758"/>
      <c r="Q10" s="1392"/>
      <c r="R10" s="282"/>
      <c r="S10" s="1199"/>
      <c r="T10" s="293" t="s">
        <v>553</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4760"/>
      <c r="F11" s="4760"/>
      <c r="G11" s="4760"/>
      <c r="H11" s="4759"/>
      <c r="I11" s="1280"/>
      <c r="J11" s="1280"/>
      <c r="K11" s="1280"/>
      <c r="L11" s="1281"/>
      <c r="M11" s="1282"/>
      <c r="N11" s="1282"/>
      <c r="O11" s="463"/>
      <c r="P11" s="286"/>
      <c r="Q11" s="305"/>
      <c r="R11" s="281"/>
      <c r="S11" s="1199"/>
      <c r="T11" s="301" t="s">
        <v>626</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46" customFormat="1" ht="14.25" hidden="1" customHeight="1">
      <c r="A12" s="1261"/>
      <c r="B12" s="1261"/>
      <c r="C12" s="1233"/>
      <c r="D12" s="1233"/>
      <c r="E12" s="4760"/>
      <c r="F12" s="4759"/>
      <c r="G12" s="1233"/>
      <c r="H12" s="1233"/>
      <c r="I12" s="1233"/>
      <c r="J12" s="1233"/>
      <c r="K12" s="1233"/>
      <c r="L12" s="1405"/>
      <c r="M12" s="1240"/>
      <c r="N12" s="1240"/>
      <c r="P12" s="1235"/>
      <c r="Q12" s="1236"/>
      <c r="R12" s="1235"/>
      <c r="S12" s="1241"/>
      <c r="T12" s="1244" t="s">
        <v>316</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21" customFormat="1" ht="14.25" hidden="1" customHeight="1">
      <c r="A13" s="1261"/>
      <c r="B13" s="1261"/>
      <c r="C13" s="1261"/>
      <c r="D13" s="1261"/>
      <c r="E13" s="4759"/>
      <c r="F13" s="1261"/>
      <c r="G13" s="1261"/>
      <c r="H13" s="1261"/>
      <c r="I13" s="1261"/>
      <c r="J13" s="1261"/>
      <c r="K13" s="1261"/>
      <c r="L13" s="1264"/>
      <c r="M13" s="1240"/>
      <c r="N13" s="1240"/>
      <c r="O13" s="445"/>
      <c r="P13" s="314"/>
      <c r="Q13" s="1262"/>
      <c r="R13" s="314"/>
      <c r="S13" s="1241"/>
      <c r="T13" s="1244" t="s">
        <v>317</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4764"/>
      <c r="AG15" s="4765" t="s">
        <v>65</v>
      </c>
      <c r="AH15" s="4764"/>
      <c r="AI15" s="4765" t="s">
        <v>65</v>
      </c>
    </row>
    <row r="16" spans="1:42" ht="14.25" hidden="1" customHeight="1">
      <c r="AC16" s="1277"/>
      <c r="AD16" s="1277"/>
      <c r="AE16" s="255" t="str">
        <f>AF15&amp;"-"&amp;AH15</f>
        <v>-</v>
      </c>
      <c r="AF16" s="4765"/>
      <c r="AG16" s="4765"/>
      <c r="AH16" s="4765"/>
      <c r="AI16" s="4765"/>
    </row>
    <row r="17" spans="1:42" ht="14.25" hidden="1" customHeight="1">
      <c r="AI17" s="254"/>
    </row>
    <row r="18" spans="1:42" s="1835" customFormat="1" ht="22.5" hidden="1" customHeight="1">
      <c r="L18" s="1389"/>
      <c r="M18" s="1279"/>
      <c r="N18" s="1279"/>
      <c r="O18" s="1284" t="s">
        <v>556</v>
      </c>
      <c r="P18" s="1279"/>
      <c r="Q18" s="1288"/>
      <c r="R18" s="1288"/>
      <c r="S18" s="649"/>
      <c r="Y18" s="1284"/>
      <c r="AA18" s="1284"/>
      <c r="AB18" s="1283"/>
      <c r="AF18" s="1284"/>
      <c r="AH18" s="1284"/>
      <c r="AI18" s="1283"/>
      <c r="AL18" s="438"/>
      <c r="AM18" s="438"/>
      <c r="AN18" s="438"/>
      <c r="AO18" s="438"/>
      <c r="AP18" s="438"/>
    </row>
    <row r="19" spans="1:42" s="1835" customFormat="1" ht="14.25" hidden="1" customHeight="1">
      <c r="L19" s="1389"/>
      <c r="M19" s="1279"/>
      <c r="N19" s="1279"/>
      <c r="O19" s="1279"/>
      <c r="P19" s="1279"/>
      <c r="Q19" s="1288"/>
      <c r="R19" s="1288"/>
      <c r="S19" s="649"/>
      <c r="AB19" s="1283"/>
      <c r="AI19" s="1283"/>
      <c r="AL19" s="438"/>
      <c r="AM19" s="438"/>
      <c r="AN19" s="438"/>
      <c r="AO19" s="438"/>
      <c r="AP19" s="438"/>
    </row>
    <row r="20" spans="1:42" s="1835" customFormat="1" ht="12" hidden="1" customHeight="1">
      <c r="L20" s="1389"/>
      <c r="M20" s="1279"/>
      <c r="N20" s="1279"/>
      <c r="O20" s="1281" t="s">
        <v>557</v>
      </c>
      <c r="P20" s="1279"/>
      <c r="Q20" s="1357"/>
      <c r="R20" s="1357"/>
      <c r="S20" s="649"/>
      <c r="T20" s="1061" t="s">
        <v>558</v>
      </c>
      <c r="Z20" s="107" t="s">
        <v>559</v>
      </c>
      <c r="AB20" s="107" t="s">
        <v>560</v>
      </c>
      <c r="AC20" s="1061" t="s">
        <v>558</v>
      </c>
      <c r="AG20" s="107" t="s">
        <v>561</v>
      </c>
      <c r="AI20" s="107" t="s">
        <v>560</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6.25" customHeight="1">
      <c r="Q24" s="306"/>
      <c r="R24" s="306"/>
      <c r="S24" s="474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743"/>
      <c r="U24" s="4743"/>
      <c r="V24" s="4743"/>
      <c r="W24" s="4743"/>
      <c r="X24" s="4743"/>
      <c r="Y24" s="4743"/>
      <c r="Z24" s="4743"/>
      <c r="AA24" s="4743"/>
      <c r="AB24" s="4743"/>
      <c r="AC24" s="4743"/>
      <c r="AD24" s="4743"/>
      <c r="AE24" s="4743"/>
      <c r="AF24" s="4743"/>
      <c r="AG24" s="4743"/>
      <c r="AH24" s="4743"/>
      <c r="AI24" s="1153"/>
    </row>
    <row r="25" spans="1:42" ht="14.25" customHeight="1">
      <c r="Q25" s="306"/>
      <c r="R25" s="306"/>
      <c r="S25" s="4690" t="str">
        <f>IF(org=0,"Не определено",org)</f>
        <v>ОГКП "Ульяновский областной водоканал"</v>
      </c>
      <c r="T25" s="4690"/>
      <c r="U25" s="4690"/>
      <c r="V25" s="4690"/>
      <c r="W25" s="4690"/>
      <c r="X25" s="4690"/>
      <c r="Y25" s="4690"/>
      <c r="Z25" s="4690"/>
      <c r="AA25" s="4690"/>
      <c r="AB25" s="4690"/>
      <c r="AC25" s="4690"/>
      <c r="AD25" s="4690"/>
      <c r="AE25" s="4690"/>
      <c r="AF25" s="4690"/>
      <c r="AG25" s="4690"/>
      <c r="AH25" s="4690"/>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51" customFormat="1" ht="25.5" customHeight="1">
      <c r="A27" s="1285"/>
      <c r="B27" s="1285"/>
      <c r="C27" s="1285"/>
      <c r="D27" s="1285"/>
      <c r="E27" s="1285"/>
      <c r="F27" s="1285"/>
      <c r="G27" s="1285"/>
      <c r="H27" s="1285"/>
      <c r="I27" s="1285"/>
      <c r="J27" s="1285"/>
      <c r="K27" s="1285"/>
      <c r="L27" s="1286"/>
      <c r="M27" s="1285"/>
      <c r="N27" s="1285"/>
      <c r="O27" s="1285"/>
      <c r="S27" s="4751" t="s">
        <v>38</v>
      </c>
      <c r="T27" s="4751"/>
      <c r="U27" s="1289"/>
      <c r="V27" s="4752" t="str">
        <f>IF(TITLE_NAME_OR_PR_CHANGE="",IF(TITLE_NAME_OR_PR="","",TITLE_NAME_OR_PR),TITLE_NAME_OR_PR_CHANGE)</f>
        <v>Агентство по регулированию цен и тарифов Ульяновской области</v>
      </c>
      <c r="W27" s="4752"/>
      <c r="X27" s="4752"/>
      <c r="Y27" s="4752"/>
      <c r="Z27" s="4752"/>
      <c r="AA27" s="4752"/>
      <c r="AB27" s="253"/>
      <c r="AC27" s="4752" t="str">
        <f>IF(TITLE_NAME_OR_PR_CHANGE="",IF(TITLE_NAME_OR_PR="","",TITLE_NAME_OR_PR),TITLE_NAME_OR_PR_CHANGE)</f>
        <v>Агентство по регулированию цен и тарифов Ульяновской области</v>
      </c>
      <c r="AD27" s="4752"/>
      <c r="AE27" s="4752"/>
      <c r="AF27" s="4752"/>
      <c r="AG27" s="4752"/>
      <c r="AH27" s="4752"/>
      <c r="AI27" s="253"/>
      <c r="AJ27" s="253"/>
      <c r="AK27" s="200"/>
      <c r="AL27" s="297"/>
      <c r="AM27" s="297"/>
      <c r="AN27" s="297"/>
      <c r="AO27" s="297"/>
      <c r="AP27" s="297"/>
    </row>
    <row r="28" spans="1:42" s="1951" customFormat="1" ht="18.75" customHeight="1">
      <c r="A28" s="1285"/>
      <c r="B28" s="1285"/>
      <c r="C28" s="1285"/>
      <c r="D28" s="1285"/>
      <c r="E28" s="1285"/>
      <c r="F28" s="1285"/>
      <c r="G28" s="1285"/>
      <c r="H28" s="1285"/>
      <c r="I28" s="1285"/>
      <c r="J28" s="1285"/>
      <c r="K28" s="1285"/>
      <c r="L28" s="1286"/>
      <c r="M28" s="1285"/>
      <c r="N28" s="1285"/>
      <c r="O28" s="1285"/>
      <c r="S28" s="4751" t="s">
        <v>562</v>
      </c>
      <c r="T28" s="4751"/>
      <c r="U28" s="1289"/>
      <c r="V28" s="4761">
        <f>IF(TITLE_DATE_PR_CHANGE="",IF(TITLE_DATE_PR="","",TITLE_DATE_PR),TITLE_DATE_PR_CHANGE)</f>
        <v>45279.639965277776</v>
      </c>
      <c r="W28" s="4761"/>
      <c r="X28" s="4761"/>
      <c r="Y28" s="4761"/>
      <c r="Z28" s="4761"/>
      <c r="AA28" s="4761"/>
      <c r="AB28" s="253"/>
      <c r="AC28" s="4761">
        <f>IF(TITLE_DATE_PR_CHANGE="",IF(TITLE_DATE_PR="","",TITLE_DATE_PR),TITLE_DATE_PR_CHANGE)</f>
        <v>45279.639965277776</v>
      </c>
      <c r="AD28" s="4761"/>
      <c r="AE28" s="4761"/>
      <c r="AF28" s="4761"/>
      <c r="AG28" s="4761"/>
      <c r="AH28" s="4761"/>
      <c r="AI28" s="253"/>
      <c r="AJ28" s="253"/>
      <c r="AK28" s="200"/>
      <c r="AL28" s="297"/>
      <c r="AM28" s="297"/>
      <c r="AN28" s="297"/>
      <c r="AO28" s="297"/>
      <c r="AP28" s="297"/>
    </row>
    <row r="29" spans="1:42" s="1951" customFormat="1" ht="18.75" customHeight="1">
      <c r="A29" s="1285"/>
      <c r="B29" s="1285"/>
      <c r="C29" s="1285"/>
      <c r="D29" s="1285"/>
      <c r="E29" s="1285"/>
      <c r="F29" s="1285"/>
      <c r="G29" s="1285"/>
      <c r="H29" s="1285"/>
      <c r="I29" s="1285"/>
      <c r="J29" s="1285"/>
      <c r="K29" s="1285"/>
      <c r="L29" s="1286"/>
      <c r="M29" s="1285"/>
      <c r="N29" s="1285"/>
      <c r="O29" s="1285"/>
      <c r="S29" s="4751" t="s">
        <v>563</v>
      </c>
      <c r="T29" s="4751"/>
      <c r="U29" s="1289"/>
      <c r="V29" s="4752" t="str">
        <f>IF(TITLE_NUMBER_PR_CHANGE="",IF(TITLE_NUMBER_PR="","",TITLE_NUMBER_PR),TITLE_NUMBER_PR_CHANGE)</f>
        <v>233-П</v>
      </c>
      <c r="W29" s="4752"/>
      <c r="X29" s="4752"/>
      <c r="Y29" s="4752"/>
      <c r="Z29" s="4752"/>
      <c r="AA29" s="4752"/>
      <c r="AB29" s="253"/>
      <c r="AC29" s="4752" t="str">
        <f>IF(TITLE_NUMBER_PR_CHANGE="",IF(TITLE_NUMBER_PR="","",TITLE_NUMBER_PR),TITLE_NUMBER_PR_CHANGE)</f>
        <v>233-П</v>
      </c>
      <c r="AD29" s="4752"/>
      <c r="AE29" s="4752"/>
      <c r="AF29" s="4752"/>
      <c r="AG29" s="4752"/>
      <c r="AH29" s="4752"/>
      <c r="AI29" s="253"/>
      <c r="AJ29" s="253"/>
      <c r="AK29" s="200"/>
      <c r="AL29" s="297"/>
      <c r="AM29" s="297"/>
      <c r="AN29" s="297"/>
      <c r="AO29" s="297"/>
      <c r="AP29" s="297"/>
    </row>
    <row r="30" spans="1:42" s="1951" customFormat="1" ht="18.75" customHeight="1">
      <c r="A30" s="1285"/>
      <c r="B30" s="1285"/>
      <c r="C30" s="1285"/>
      <c r="D30" s="1285"/>
      <c r="E30" s="1285"/>
      <c r="F30" s="1285"/>
      <c r="G30" s="1285"/>
      <c r="H30" s="1285"/>
      <c r="I30" s="1285"/>
      <c r="J30" s="1285"/>
      <c r="K30" s="1285"/>
      <c r="L30" s="1286"/>
      <c r="M30" s="1285"/>
      <c r="N30" s="1285"/>
      <c r="O30" s="1285"/>
      <c r="S30" s="4751" t="s">
        <v>40</v>
      </c>
      <c r="T30" s="4751"/>
      <c r="U30" s="1289"/>
      <c r="V30" s="4752" t="str">
        <f>IF(TITLE_IST_PUB_CHANGE="",IF(TITLE_IST_PUB="","",TITLE_IST_PUB),TITLE_IST_PUB_CHANGE)</f>
        <v>сайт Агентства по регулированию цен и тарифов Ульяновской области</v>
      </c>
      <c r="W30" s="4752"/>
      <c r="X30" s="4752"/>
      <c r="Y30" s="4752"/>
      <c r="Z30" s="4752"/>
      <c r="AA30" s="4752"/>
      <c r="AB30" s="253"/>
      <c r="AC30" s="4752" t="str">
        <f>IF(TITLE_IST_PUB_CHANGE="",IF(TITLE_IST_PUB="","",TITLE_IST_PUB),TITLE_IST_PUB_CHANGE)</f>
        <v>сайт Агентства по регулированию цен и тарифов Ульяновской области</v>
      </c>
      <c r="AD30" s="4752"/>
      <c r="AE30" s="4752"/>
      <c r="AF30" s="4752"/>
      <c r="AG30" s="4752"/>
      <c r="AH30" s="4752"/>
      <c r="AI30" s="253"/>
      <c r="AJ30" s="253"/>
      <c r="AK30" s="200"/>
      <c r="AL30" s="297"/>
      <c r="AM30" s="297"/>
      <c r="AN30" s="297"/>
      <c r="AO30" s="297"/>
      <c r="AP30" s="297"/>
    </row>
    <row r="31" spans="1:42" ht="14.25"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51" customFormat="1" ht="18.75" customHeight="1">
      <c r="A32" s="1285"/>
      <c r="B32" s="1285"/>
      <c r="C32" s="1285"/>
      <c r="D32" s="1285"/>
      <c r="E32" s="1285"/>
      <c r="F32" s="1285"/>
      <c r="G32" s="1285"/>
      <c r="H32" s="1285"/>
      <c r="I32" s="1285"/>
      <c r="J32" s="1285"/>
      <c r="K32" s="1285"/>
      <c r="L32" s="1286"/>
      <c r="M32" s="1285"/>
      <c r="N32" s="1285"/>
      <c r="O32" s="1285"/>
      <c r="S32" s="4751" t="s">
        <v>564</v>
      </c>
      <c r="T32" s="4751"/>
      <c r="U32" s="1289"/>
      <c r="V32" s="4761">
        <f>IF(TITLE_DATE_PR_CHANGE="",IF(TITLE_DATE_PR="","",TITLE_DATE_PR),TITLE_DATE_PR_CHANGE)</f>
        <v>45279.639965277776</v>
      </c>
      <c r="W32" s="4761"/>
      <c r="X32" s="4761"/>
      <c r="Y32" s="4761"/>
      <c r="Z32" s="4761"/>
      <c r="AA32" s="4761"/>
      <c r="AB32" s="253"/>
      <c r="AC32" s="4761">
        <f>IF(TITLE_DATE_PR_CHANGE="",IF(TITLE_DATE_PR="","",TITLE_DATE_PR),TITLE_DATE_PR_CHANGE)</f>
        <v>45279.639965277776</v>
      </c>
      <c r="AD32" s="4761"/>
      <c r="AE32" s="4761"/>
      <c r="AF32" s="4761"/>
      <c r="AG32" s="4761"/>
      <c r="AH32" s="4761"/>
      <c r="AI32" s="253"/>
      <c r="AJ32" s="253"/>
      <c r="AK32" s="200"/>
      <c r="AL32" s="297"/>
      <c r="AM32" s="297"/>
      <c r="AN32" s="297"/>
      <c r="AO32" s="297"/>
      <c r="AP32" s="297"/>
    </row>
    <row r="33" spans="1:42" s="1951" customFormat="1" ht="18.75" customHeight="1">
      <c r="A33" s="1285"/>
      <c r="B33" s="1285"/>
      <c r="C33" s="1285"/>
      <c r="D33" s="1285"/>
      <c r="E33" s="1285"/>
      <c r="F33" s="1285"/>
      <c r="G33" s="1285"/>
      <c r="H33" s="1285"/>
      <c r="I33" s="1285"/>
      <c r="J33" s="1285"/>
      <c r="K33" s="1285"/>
      <c r="L33" s="1286"/>
      <c r="M33" s="1285"/>
      <c r="N33" s="1285"/>
      <c r="O33" s="1285"/>
      <c r="S33" s="4751" t="s">
        <v>565</v>
      </c>
      <c r="T33" s="4751"/>
      <c r="U33" s="1289"/>
      <c r="V33" s="4752" t="str">
        <f>IF(TITLE_NUMBER_PR_CHANGE="",IF(TITLE_NUMBER_PR="","",TITLE_NUMBER_PR),TITLE_NUMBER_PR_CHANGE)</f>
        <v>233-П</v>
      </c>
      <c r="W33" s="4752"/>
      <c r="X33" s="4752"/>
      <c r="Y33" s="4752"/>
      <c r="Z33" s="4752"/>
      <c r="AA33" s="4752"/>
      <c r="AB33" s="253"/>
      <c r="AC33" s="4752" t="str">
        <f>IF(TITLE_NUMBER_PR_CHANGE="",IF(TITLE_NUMBER_PR="","",TITLE_NUMBER_PR),TITLE_NUMBER_PR_CHANGE)</f>
        <v>233-П</v>
      </c>
      <c r="AD33" s="4752"/>
      <c r="AE33" s="4752"/>
      <c r="AF33" s="4752"/>
      <c r="AG33" s="4752"/>
      <c r="AH33" s="4752"/>
      <c r="AI33" s="253"/>
      <c r="AJ33" s="253"/>
      <c r="AK33" s="200"/>
      <c r="AL33" s="297"/>
      <c r="AM33" s="297"/>
      <c r="AN33" s="297"/>
      <c r="AO33" s="297"/>
      <c r="AP33" s="297"/>
    </row>
    <row r="34" spans="1:42" s="195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566</v>
      </c>
      <c r="AC34" s="253"/>
      <c r="AD34" s="253"/>
      <c r="AE34" s="253"/>
      <c r="AF34" s="253"/>
      <c r="AG34" s="253"/>
      <c r="AH34" s="253"/>
      <c r="AI34" s="198" t="s">
        <v>566</v>
      </c>
      <c r="AL34" s="297"/>
      <c r="AM34" s="297"/>
      <c r="AN34" s="297"/>
      <c r="AO34" s="297"/>
      <c r="AP34" s="297"/>
    </row>
    <row r="35" spans="1:42" ht="14.25" customHeight="1">
      <c r="Q35" s="306"/>
      <c r="R35" s="306"/>
      <c r="S35" s="1196"/>
      <c r="T35" s="291"/>
      <c r="U35" s="1154"/>
      <c r="V35" s="4753"/>
      <c r="W35" s="4753"/>
      <c r="X35" s="4753"/>
      <c r="Y35" s="4753"/>
      <c r="Z35" s="4753"/>
      <c r="AA35" s="4753"/>
      <c r="AB35" s="4753"/>
      <c r="AC35" s="4753"/>
      <c r="AD35" s="4753"/>
      <c r="AE35" s="4753"/>
      <c r="AF35" s="4753"/>
      <c r="AG35" s="4753"/>
      <c r="AH35" s="4753"/>
      <c r="AI35" s="4753"/>
    </row>
    <row r="36" spans="1:42" ht="14.25" customHeight="1">
      <c r="Q36" s="306"/>
      <c r="R36" s="306"/>
      <c r="S36" s="4627" t="s">
        <v>439</v>
      </c>
      <c r="T36" s="4627"/>
      <c r="U36" s="4627"/>
      <c r="V36" s="4627"/>
      <c r="W36" s="4627"/>
      <c r="X36" s="4627"/>
      <c r="Y36" s="4627"/>
      <c r="Z36" s="4627"/>
      <c r="AA36" s="4627"/>
      <c r="AB36" s="4627"/>
      <c r="AC36" s="4627"/>
      <c r="AD36" s="4627"/>
      <c r="AE36" s="4627"/>
      <c r="AF36" s="4627"/>
      <c r="AG36" s="4627"/>
      <c r="AH36" s="4627"/>
      <c r="AI36" s="4627"/>
      <c r="AJ36" s="4627"/>
      <c r="AK36" s="4627" t="s">
        <v>440</v>
      </c>
    </row>
    <row r="37" spans="1:42" ht="14.25" customHeight="1">
      <c r="Q37" s="306"/>
      <c r="R37" s="306"/>
      <c r="S37" s="4767" t="s">
        <v>86</v>
      </c>
      <c r="T37" s="4719" t="s">
        <v>567</v>
      </c>
      <c r="U37" s="220"/>
      <c r="V37" s="4768" t="s">
        <v>568</v>
      </c>
      <c r="W37" s="4769"/>
      <c r="X37" s="4769"/>
      <c r="Y37" s="4769"/>
      <c r="Z37" s="4769"/>
      <c r="AA37" s="4770"/>
      <c r="AB37" s="4771" t="s">
        <v>569</v>
      </c>
      <c r="AC37" s="4768" t="s">
        <v>568</v>
      </c>
      <c r="AD37" s="4769"/>
      <c r="AE37" s="4769"/>
      <c r="AF37" s="4769"/>
      <c r="AG37" s="4769"/>
      <c r="AH37" s="4770"/>
      <c r="AI37" s="4771" t="s">
        <v>570</v>
      </c>
      <c r="AJ37" s="4774" t="s">
        <v>571</v>
      </c>
      <c r="AK37" s="4627"/>
    </row>
    <row r="38" spans="1:42" ht="33.75" customHeight="1">
      <c r="Q38" s="306"/>
      <c r="R38" s="306"/>
      <c r="S38" s="4767"/>
      <c r="T38" s="4719"/>
      <c r="U38" s="939"/>
      <c r="V38" s="1394" t="s">
        <v>673</v>
      </c>
      <c r="W38" s="4598" t="s">
        <v>674</v>
      </c>
      <c r="X38" s="4597"/>
      <c r="Y38" s="4598" t="s">
        <v>575</v>
      </c>
      <c r="Z38" s="4604"/>
      <c r="AA38" s="4597"/>
      <c r="AB38" s="4772"/>
      <c r="AC38" s="1394" t="s">
        <v>673</v>
      </c>
      <c r="AD38" s="4598" t="s">
        <v>674</v>
      </c>
      <c r="AE38" s="4597"/>
      <c r="AF38" s="4598" t="s">
        <v>575</v>
      </c>
      <c r="AG38" s="4604"/>
      <c r="AH38" s="4597"/>
      <c r="AI38" s="4772"/>
      <c r="AJ38" s="4775"/>
      <c r="AK38" s="4627"/>
    </row>
    <row r="39" spans="1:42" ht="86.25" customHeight="1">
      <c r="A39" s="1287"/>
      <c r="B39" s="1287" t="s">
        <v>197</v>
      </c>
      <c r="C39" s="1287" t="s">
        <v>198</v>
      </c>
      <c r="D39" s="1287" t="s">
        <v>199</v>
      </c>
      <c r="E39" s="1281" t="s">
        <v>576</v>
      </c>
      <c r="F39" s="1281" t="s">
        <v>577</v>
      </c>
      <c r="G39" s="1281" t="s">
        <v>578</v>
      </c>
      <c r="H39" s="1281"/>
      <c r="I39" s="1281" t="s">
        <v>628</v>
      </c>
      <c r="J39" s="1281" t="s">
        <v>581</v>
      </c>
      <c r="K39" s="1281" t="s">
        <v>629</v>
      </c>
      <c r="L39" s="1281" t="s">
        <v>557</v>
      </c>
      <c r="Q39" s="306"/>
      <c r="R39" s="306"/>
      <c r="S39" s="4767"/>
      <c r="T39" s="4719"/>
      <c r="U39" s="221"/>
      <c r="V39" s="1394" t="s">
        <v>675</v>
      </c>
      <c r="W39" s="1129" t="s">
        <v>676</v>
      </c>
      <c r="X39" s="1129" t="s">
        <v>677</v>
      </c>
      <c r="Y39" s="1400" t="s">
        <v>585</v>
      </c>
      <c r="Z39" s="4727" t="s">
        <v>586</v>
      </c>
      <c r="AA39" s="4729"/>
      <c r="AB39" s="4773"/>
      <c r="AC39" s="1394" t="s">
        <v>675</v>
      </c>
      <c r="AD39" s="1129" t="s">
        <v>676</v>
      </c>
      <c r="AE39" s="1129" t="s">
        <v>677</v>
      </c>
      <c r="AF39" s="1400" t="s">
        <v>585</v>
      </c>
      <c r="AG39" s="4727" t="s">
        <v>586</v>
      </c>
      <c r="AH39" s="4729"/>
      <c r="AI39" s="4773"/>
      <c r="AJ39" s="4776"/>
      <c r="AK39" s="4627"/>
    </row>
    <row r="40" spans="1:42" s="1820"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174</v>
      </c>
      <c r="T40" s="1173" t="s">
        <v>101</v>
      </c>
      <c r="U40" s="1155" t="str">
        <f ca="1">OFFSET(U40,0,-1)</f>
        <v>2</v>
      </c>
      <c r="V40" s="1393">
        <f ca="1">OFFSET(V40,0,-1)+1</f>
        <v>3</v>
      </c>
      <c r="W40" s="1393">
        <f ca="1">OFFSET(W40,0,-1)+1</f>
        <v>4</v>
      </c>
      <c r="X40" s="1393">
        <f ca="1">OFFSET(X40,0,-1)+1</f>
        <v>5</v>
      </c>
      <c r="Y40" s="1393">
        <f ca="1">OFFSET(Y40,0,-1)+1</f>
        <v>6</v>
      </c>
      <c r="Z40" s="4766">
        <f ca="1">OFFSET(Z40,0,-1)+1</f>
        <v>7</v>
      </c>
      <c r="AA40" s="4766"/>
      <c r="AB40" s="1393">
        <f ca="1">OFFSET(AB40,0,-2)+1</f>
        <v>8</v>
      </c>
      <c r="AC40" s="1393">
        <f ca="1">OFFSET(AC40,0,-1)+1</f>
        <v>9</v>
      </c>
      <c r="AD40" s="1393">
        <f ca="1">OFFSET(AD40,0,-1)+1</f>
        <v>10</v>
      </c>
      <c r="AE40" s="1393">
        <f ca="1">OFFSET(AE40,0,-1)+1</f>
        <v>11</v>
      </c>
      <c r="AF40" s="1393">
        <f ca="1">OFFSET(AF40,0,-1)+1</f>
        <v>12</v>
      </c>
      <c r="AG40" s="4766">
        <f ca="1">OFFSET(AG40,0,-1)+1</f>
        <v>13</v>
      </c>
      <c r="AH40" s="4766"/>
      <c r="AI40" s="1393">
        <f ca="1">OFFSET(AI40,0,-2)+1</f>
        <v>14</v>
      </c>
      <c r="AJ40" s="1155">
        <f ca="1">OFFSET(AJ40,0,-1)</f>
        <v>14</v>
      </c>
      <c r="AK40" s="1393">
        <f ca="1">OFFSET(AK40,0,-1)+1</f>
        <v>15</v>
      </c>
      <c r="AL40" s="438"/>
      <c r="AM40" s="438"/>
      <c r="AN40" s="438"/>
      <c r="AO40" s="438"/>
      <c r="AP40" s="438"/>
    </row>
    <row r="41" spans="1:42" ht="23.25" customHeight="1">
      <c r="A41" s="1280" t="s">
        <v>296</v>
      </c>
      <c r="B41" s="1280"/>
      <c r="C41" s="1280"/>
      <c r="D41" s="1280"/>
      <c r="E41" s="4759">
        <v>1</v>
      </c>
      <c r="F41" s="1280"/>
      <c r="G41" s="1280"/>
      <c r="H41" s="1280"/>
      <c r="I41" s="1280"/>
      <c r="J41" s="1280"/>
      <c r="K41" s="1280"/>
      <c r="L41" s="1281"/>
      <c r="M41" s="1282"/>
      <c r="N41" s="1282"/>
      <c r="O41" s="1282"/>
      <c r="P41" s="287"/>
      <c r="Q41" s="286"/>
      <c r="R41" s="281"/>
      <c r="S41" s="1404">
        <f>INDEX(PT_DIFFERENTIATION_NUM_NTAR,MATCH(A41,PT_DIFFERENTIATION_NTAR_ID,0))</f>
        <v>0</v>
      </c>
      <c r="T41" s="217" t="s">
        <v>185</v>
      </c>
      <c r="U41" s="219"/>
      <c r="V41" s="4745"/>
      <c r="W41" s="4746"/>
      <c r="X41" s="4746"/>
      <c r="Y41" s="4746"/>
      <c r="Z41" s="4746"/>
      <c r="AA41" s="4746"/>
      <c r="AB41" s="4747"/>
      <c r="AC41" s="4745" t="str">
        <f>INDEX(PT_DIFFERENTIATION_NTAR,MATCH(A41,PT_DIFFERENTIATION_NTAR_ID,0))</f>
        <v/>
      </c>
      <c r="AD41" s="4746"/>
      <c r="AE41" s="4746"/>
      <c r="AF41" s="4746"/>
      <c r="AG41" s="4746"/>
      <c r="AH41" s="4746"/>
      <c r="AI41" s="4746"/>
      <c r="AJ41" s="474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296</v>
      </c>
      <c r="B42" s="1280" t="s">
        <v>297</v>
      </c>
      <c r="C42" s="1280"/>
      <c r="D42" s="1280"/>
      <c r="E42" s="4760"/>
      <c r="F42" s="4759">
        <v>1</v>
      </c>
      <c r="G42" s="1280"/>
      <c r="H42" s="1280"/>
      <c r="I42" s="1280"/>
      <c r="J42" s="1280"/>
      <c r="K42" s="1280"/>
      <c r="L42" s="1281"/>
      <c r="M42" s="1282"/>
      <c r="N42" s="1282"/>
      <c r="O42" s="1282"/>
      <c r="P42" s="1398"/>
      <c r="Q42" s="278"/>
      <c r="R42" s="279"/>
      <c r="S42" s="1404" t="str">
        <f>INDEX(PT_DIFFERENTIATION_NUM_TER,MATCH(B42,PT_DIFFERENTIATION_TER_ID,0))</f>
        <v>.</v>
      </c>
      <c r="T42" s="229" t="s">
        <v>538</v>
      </c>
      <c r="U42" s="219"/>
      <c r="V42" s="4745"/>
      <c r="W42" s="4746"/>
      <c r="X42" s="4746"/>
      <c r="Y42" s="4746"/>
      <c r="Z42" s="4746"/>
      <c r="AA42" s="4746"/>
      <c r="AB42" s="4747"/>
      <c r="AC42" s="4745" t="str">
        <f>INDEX(PT_DIFFERENTIATION_TER,MATCH(B42,PT_DIFFERENTIATION_TER_ID,0))</f>
        <v/>
      </c>
      <c r="AD42" s="4746"/>
      <c r="AE42" s="4746"/>
      <c r="AF42" s="4746"/>
      <c r="AG42" s="4746"/>
      <c r="AH42" s="4746"/>
      <c r="AI42" s="4746"/>
      <c r="AJ42" s="4747"/>
      <c r="AK42" s="1178" t="s">
        <v>539</v>
      </c>
      <c r="AM42" s="427"/>
      <c r="AN42" s="427" t="str">
        <f t="shared" si="1"/>
        <v>Территория действия тарифа</v>
      </c>
      <c r="AO42" s="427"/>
      <c r="AP42" s="427"/>
    </row>
    <row r="43" spans="1:42" ht="23.25" customHeight="1">
      <c r="A43" s="1280" t="s">
        <v>296</v>
      </c>
      <c r="B43" s="1280" t="s">
        <v>297</v>
      </c>
      <c r="C43" s="1280" t="s">
        <v>298</v>
      </c>
      <c r="D43" s="1280"/>
      <c r="E43" s="4760"/>
      <c r="F43" s="4760"/>
      <c r="G43" s="4759">
        <v>1</v>
      </c>
      <c r="H43" s="1280"/>
      <c r="I43" s="1280"/>
      <c r="J43" s="1280"/>
      <c r="K43" s="1280"/>
      <c r="L43" s="1281"/>
      <c r="M43" s="1282"/>
      <c r="N43" s="1282"/>
      <c r="O43" s="1282"/>
      <c r="P43" s="280"/>
      <c r="Q43" s="278"/>
      <c r="R43" s="279"/>
      <c r="S43" s="1404" t="str">
        <f>INDEX(PT_DIFFERENTIATION_NUM_CS,MATCH(C43,PT_DIFFERENTIATION_CS_ID,0))</f>
        <v>..</v>
      </c>
      <c r="T43" s="230" t="s">
        <v>671</v>
      </c>
      <c r="U43" s="219"/>
      <c r="V43" s="4745"/>
      <c r="W43" s="4746"/>
      <c r="X43" s="4746"/>
      <c r="Y43" s="4746"/>
      <c r="Z43" s="4746"/>
      <c r="AA43" s="4746"/>
      <c r="AB43" s="4747"/>
      <c r="AC43" s="4745" t="str">
        <f>INDEX(PT_DIFFERENTIATION_CS,MATCH(C43,PT_DIFFERENTIATION_CS_ID,0))</f>
        <v/>
      </c>
      <c r="AD43" s="4746"/>
      <c r="AE43" s="4746"/>
      <c r="AF43" s="4746"/>
      <c r="AG43" s="4746"/>
      <c r="AH43" s="4746"/>
      <c r="AI43" s="4746"/>
      <c r="AJ43" s="4747"/>
      <c r="AK43" s="1178" t="s">
        <v>672</v>
      </c>
      <c r="AM43" s="427"/>
      <c r="AN43" s="427" t="str">
        <f t="shared" si="1"/>
        <v>Наименование централизованной системы горячего водоснабжения</v>
      </c>
      <c r="AO43" s="427"/>
      <c r="AP43" s="427"/>
    </row>
    <row r="44" spans="1:42" ht="23.25" customHeight="1">
      <c r="A44" s="1280" t="s">
        <v>296</v>
      </c>
      <c r="B44" s="1280" t="s">
        <v>297</v>
      </c>
      <c r="C44" s="1280" t="s">
        <v>298</v>
      </c>
      <c r="D44" s="1280" t="s">
        <v>678</v>
      </c>
      <c r="E44" s="4760"/>
      <c r="F44" s="4760"/>
      <c r="G44" s="4760"/>
      <c r="H44" s="4760"/>
      <c r="I44" s="4757" t="str">
        <f>S43&amp;".1"</f>
        <v>...1</v>
      </c>
      <c r="J44" s="1280"/>
      <c r="K44" s="1280"/>
      <c r="L44" s="1281"/>
      <c r="P44" s="4758">
        <v>1</v>
      </c>
      <c r="Q44" s="1392"/>
      <c r="R44" s="282"/>
      <c r="S44" s="1404" t="str">
        <f>$I44</f>
        <v>...1</v>
      </c>
      <c r="T44" s="204" t="s">
        <v>621</v>
      </c>
      <c r="U44" s="219"/>
      <c r="V44" s="4818"/>
      <c r="W44" s="4819"/>
      <c r="X44" s="4819"/>
      <c r="Y44" s="4819"/>
      <c r="Z44" s="4819"/>
      <c r="AA44" s="4819"/>
      <c r="AB44" s="4820"/>
      <c r="AC44" s="4821"/>
      <c r="AD44" s="4822"/>
      <c r="AE44" s="4822"/>
      <c r="AF44" s="4822"/>
      <c r="AG44" s="4822"/>
      <c r="AH44" s="4822"/>
      <c r="AI44" s="4822"/>
      <c r="AJ44" s="4823"/>
      <c r="AK44" s="1178" t="s">
        <v>622</v>
      </c>
      <c r="AM44" s="427"/>
      <c r="AN44" s="427" t="str">
        <f t="shared" si="1"/>
        <v>Наименование признака дифференциации</v>
      </c>
      <c r="AO44" s="427"/>
      <c r="AP44" s="427"/>
    </row>
    <row r="45" spans="1:42" ht="23.25" customHeight="1">
      <c r="A45" s="1280" t="s">
        <v>296</v>
      </c>
      <c r="B45" s="1280" t="s">
        <v>297</v>
      </c>
      <c r="C45" s="1280" t="s">
        <v>298</v>
      </c>
      <c r="D45" s="1280" t="s">
        <v>678</v>
      </c>
      <c r="E45" s="4760"/>
      <c r="F45" s="4760"/>
      <c r="G45" s="4760"/>
      <c r="H45" s="4760"/>
      <c r="I45" s="4780"/>
      <c r="J45" s="4757" t="str">
        <f>I44&amp;".1"</f>
        <v>...1.1</v>
      </c>
      <c r="K45" s="1280"/>
      <c r="L45" s="1281" t="s">
        <v>547</v>
      </c>
      <c r="P45" s="4758"/>
      <c r="Q45" s="4758">
        <v>1</v>
      </c>
      <c r="R45" s="283"/>
      <c r="S45" s="1404" t="str">
        <f>$J45</f>
        <v>...1.1</v>
      </c>
      <c r="T45" s="205" t="s">
        <v>548</v>
      </c>
      <c r="U45" s="219"/>
      <c r="V45" s="4748"/>
      <c r="W45" s="4749"/>
      <c r="X45" s="4749"/>
      <c r="Y45" s="4749"/>
      <c r="Z45" s="4749"/>
      <c r="AA45" s="4749"/>
      <c r="AB45" s="4750"/>
      <c r="AC45" s="4748"/>
      <c r="AD45" s="4749"/>
      <c r="AE45" s="4749"/>
      <c r="AF45" s="4749"/>
      <c r="AG45" s="4749"/>
      <c r="AH45" s="4749"/>
      <c r="AI45" s="4749"/>
      <c r="AJ45" s="4750"/>
      <c r="AK45" s="1227" t="s">
        <v>623</v>
      </c>
      <c r="AM45" s="427"/>
      <c r="AN45" s="427" t="str">
        <f t="shared" si="1"/>
        <v>Группа потребителей</v>
      </c>
      <c r="AO45" s="427"/>
      <c r="AP45" s="427"/>
    </row>
    <row r="46" spans="1:42" ht="23.25" customHeight="1">
      <c r="A46" s="1280" t="s">
        <v>296</v>
      </c>
      <c r="B46" s="1280" t="s">
        <v>297</v>
      </c>
      <c r="C46" s="1280" t="s">
        <v>298</v>
      </c>
      <c r="D46" s="1280" t="s">
        <v>678</v>
      </c>
      <c r="E46" s="4760"/>
      <c r="F46" s="4760"/>
      <c r="G46" s="4760"/>
      <c r="H46" s="4760"/>
      <c r="I46" s="4780"/>
      <c r="J46" s="4780"/>
      <c r="K46" s="4757" t="str">
        <f>J45&amp;".1"</f>
        <v>...1.1.1</v>
      </c>
      <c r="L46" s="1281"/>
      <c r="P46" s="4758"/>
      <c r="Q46" s="4758"/>
      <c r="R46" s="283">
        <v>1</v>
      </c>
      <c r="S46" s="1404" t="str">
        <f>$K46</f>
        <v>...1.1.1</v>
      </c>
      <c r="T46" s="1353"/>
      <c r="U46" s="219"/>
      <c r="V46" s="1277"/>
      <c r="W46" s="1277"/>
      <c r="X46" s="1278"/>
      <c r="Y46" s="4764"/>
      <c r="Z46" s="4765" t="s">
        <v>65</v>
      </c>
      <c r="AA46" s="4764"/>
      <c r="AB46" s="4765" t="s">
        <v>65</v>
      </c>
      <c r="AC46" s="669"/>
      <c r="AD46" s="669"/>
      <c r="AE46" s="1177"/>
      <c r="AF46" s="4762"/>
      <c r="AG46" s="4608" t="s">
        <v>65</v>
      </c>
      <c r="AH46" s="4781"/>
      <c r="AI46" s="4608" t="s">
        <v>55</v>
      </c>
      <c r="AJ46" s="1354"/>
      <c r="AK46" s="4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296</v>
      </c>
      <c r="B47" s="1280" t="s">
        <v>297</v>
      </c>
      <c r="C47" s="1280" t="s">
        <v>298</v>
      </c>
      <c r="D47" s="1280" t="s">
        <v>678</v>
      </c>
      <c r="E47" s="4760"/>
      <c r="F47" s="4760"/>
      <c r="G47" s="4760"/>
      <c r="H47" s="4760"/>
      <c r="I47" s="4780"/>
      <c r="J47" s="4780"/>
      <c r="K47" s="4757"/>
      <c r="L47" s="1281"/>
      <c r="P47" s="4758"/>
      <c r="Q47" s="4758"/>
      <c r="R47" s="283"/>
      <c r="S47" s="1401"/>
      <c r="T47" s="219"/>
      <c r="U47" s="219"/>
      <c r="V47" s="1277"/>
      <c r="W47" s="1277"/>
      <c r="X47" s="255" t="str">
        <f>Y46&amp;"-"&amp;AA46</f>
        <v>-</v>
      </c>
      <c r="Y47" s="4765"/>
      <c r="Z47" s="4765"/>
      <c r="AA47" s="4765"/>
      <c r="AB47" s="4765"/>
      <c r="AC47" s="251"/>
      <c r="AD47" s="251"/>
      <c r="AE47" s="255" t="str">
        <f>AF46&amp;"-"&amp;AH46</f>
        <v>-</v>
      </c>
      <c r="AF47" s="4763"/>
      <c r="AG47" s="4608"/>
      <c r="AH47" s="4782"/>
      <c r="AI47" s="4608"/>
      <c r="AJ47" s="1355"/>
      <c r="AK47" s="4817"/>
      <c r="AM47" s="427"/>
      <c r="AN47" s="427" t="str">
        <f t="shared" si="1"/>
        <v/>
      </c>
      <c r="AO47" s="427"/>
      <c r="AP47" s="427"/>
    </row>
    <row r="48" spans="1:42" ht="21" customHeight="1">
      <c r="A48" s="1280" t="s">
        <v>296</v>
      </c>
      <c r="B48" s="1280" t="s">
        <v>297</v>
      </c>
      <c r="C48" s="1280" t="s">
        <v>298</v>
      </c>
      <c r="D48" s="1280" t="s">
        <v>678</v>
      </c>
      <c r="E48" s="4760"/>
      <c r="F48" s="4760"/>
      <c r="G48" s="4760"/>
      <c r="H48" s="4760"/>
      <c r="I48" s="4780"/>
      <c r="J48" s="4757"/>
      <c r="K48" s="1280"/>
      <c r="L48" s="1281"/>
      <c r="P48" s="4758"/>
      <c r="Q48" s="4758"/>
      <c r="R48" s="282"/>
      <c r="S48" s="1199"/>
      <c r="T48" s="206" t="s">
        <v>624</v>
      </c>
      <c r="U48" s="296"/>
      <c r="V48" s="296"/>
      <c r="W48" s="296"/>
      <c r="X48" s="296"/>
      <c r="Y48" s="296"/>
      <c r="Z48" s="296"/>
      <c r="AA48" s="296"/>
      <c r="AB48" s="296"/>
      <c r="AC48" s="296"/>
      <c r="AD48" s="296"/>
      <c r="AE48" s="296"/>
      <c r="AF48" s="296"/>
      <c r="AG48" s="296"/>
      <c r="AH48" s="296"/>
      <c r="AI48" s="296"/>
      <c r="AJ48" s="296"/>
      <c r="AK48" s="1178" t="s">
        <v>625</v>
      </c>
      <c r="AM48" s="427"/>
      <c r="AN48" s="427" t="str">
        <f t="shared" si="1"/>
        <v>Добавить значение признака дифференциации</v>
      </c>
      <c r="AO48" s="427"/>
      <c r="AP48" s="427"/>
    </row>
    <row r="49" spans="1:42" ht="21" customHeight="1">
      <c r="A49" s="1280" t="s">
        <v>296</v>
      </c>
      <c r="B49" s="1280" t="s">
        <v>297</v>
      </c>
      <c r="C49" s="1280" t="s">
        <v>298</v>
      </c>
      <c r="D49" s="1280" t="s">
        <v>678</v>
      </c>
      <c r="E49" s="4760"/>
      <c r="F49" s="4760"/>
      <c r="G49" s="4760"/>
      <c r="H49" s="4760"/>
      <c r="I49" s="4757"/>
      <c r="J49" s="1280"/>
      <c r="K49" s="1280"/>
      <c r="L49" s="1281"/>
      <c r="P49" s="4758"/>
      <c r="Q49" s="1392"/>
      <c r="R49" s="282"/>
      <c r="S49" s="1199"/>
      <c r="T49" s="293" t="s">
        <v>553</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296</v>
      </c>
      <c r="B50" s="1280" t="s">
        <v>297</v>
      </c>
      <c r="C50" s="1280" t="s">
        <v>298</v>
      </c>
      <c r="D50" s="1280" t="s">
        <v>678</v>
      </c>
      <c r="E50" s="4760"/>
      <c r="F50" s="4760"/>
      <c r="G50" s="4760"/>
      <c r="H50" s="4759"/>
      <c r="I50" s="1280"/>
      <c r="J50" s="1280"/>
      <c r="K50" s="1280"/>
      <c r="L50" s="1281"/>
      <c r="M50" s="1282"/>
      <c r="N50" s="1282"/>
      <c r="O50" s="463"/>
      <c r="P50" s="286"/>
      <c r="Q50" s="305"/>
      <c r="R50" s="281"/>
      <c r="S50" s="1199"/>
      <c r="T50" s="301" t="s">
        <v>626</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46" customFormat="1" ht="0" hidden="1" customHeight="1">
      <c r="A51" s="1261" t="s">
        <v>296</v>
      </c>
      <c r="B51" s="1261" t="s">
        <v>297</v>
      </c>
      <c r="C51" s="1233"/>
      <c r="D51" s="1233"/>
      <c r="E51" s="4760"/>
      <c r="F51" s="4759"/>
      <c r="G51" s="1233"/>
      <c r="H51" s="1233"/>
      <c r="I51" s="1233"/>
      <c r="J51" s="1233"/>
      <c r="K51" s="1233"/>
      <c r="L51" s="1405"/>
      <c r="M51" s="1240"/>
      <c r="N51" s="1240"/>
      <c r="P51" s="1235"/>
      <c r="Q51" s="1236"/>
      <c r="R51" s="1235"/>
      <c r="S51" s="1241"/>
      <c r="T51" s="1244" t="s">
        <v>316</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21" customFormat="1" ht="0" hidden="1" customHeight="1">
      <c r="A52" s="1261" t="s">
        <v>296</v>
      </c>
      <c r="B52" s="1261"/>
      <c r="C52" s="1261"/>
      <c r="D52" s="1261"/>
      <c r="E52" s="4759"/>
      <c r="F52" s="1261"/>
      <c r="G52" s="1261"/>
      <c r="H52" s="1261"/>
      <c r="I52" s="1261"/>
      <c r="J52" s="1261"/>
      <c r="K52" s="1261"/>
      <c r="L52" s="1264"/>
      <c r="M52" s="1240"/>
      <c r="N52" s="1240"/>
      <c r="O52" s="445"/>
      <c r="P52" s="314"/>
      <c r="Q52" s="1262"/>
      <c r="R52" s="314"/>
      <c r="S52" s="1241"/>
      <c r="T52" s="1244" t="s">
        <v>317</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46"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407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4779"/>
      <c r="U55" s="4779"/>
      <c r="V55" s="4779"/>
      <c r="W55" s="4779"/>
      <c r="X55" s="4779"/>
      <c r="Y55" s="4779"/>
      <c r="Z55" s="4779"/>
      <c r="AA55" s="4779"/>
      <c r="AB55" s="4779"/>
      <c r="AC55" s="4779"/>
      <c r="AD55" s="4779"/>
      <c r="AE55" s="4779"/>
      <c r="AF55" s="4779"/>
      <c r="AG55" s="4779"/>
      <c r="AH55" s="4779"/>
      <c r="AI55" s="4779"/>
      <c r="AJ55" s="4779"/>
      <c r="AK55" s="4779"/>
    </row>
    <row r="56" spans="1:42" ht="14.25" customHeight="1">
      <c r="O56" s="463"/>
    </row>
    <row r="57" spans="1:42" ht="14.25" customHeight="1">
      <c r="O57" s="463"/>
      <c r="S57" s="1165"/>
      <c r="T57" s="4779"/>
      <c r="U57" s="4779"/>
      <c r="V57" s="4779"/>
      <c r="W57" s="4779"/>
      <c r="X57" s="4779"/>
      <c r="Y57" s="4779"/>
      <c r="Z57" s="4779"/>
      <c r="AA57" s="4779"/>
      <c r="AB57" s="4779"/>
      <c r="AC57" s="4779"/>
      <c r="AD57" s="4779"/>
      <c r="AE57" s="4779"/>
      <c r="AF57" s="4779"/>
      <c r="AG57" s="4779"/>
      <c r="AH57" s="4779"/>
      <c r="AI57" s="4779"/>
      <c r="AJ57" s="4779"/>
      <c r="AK57" s="477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5" hidden="1" customWidth="1"/>
    <col min="2" max="2" width="11" style="1835" hidden="1" customWidth="1"/>
    <col min="3" max="3" width="10.5703125" style="1835" hidden="1"/>
    <col min="4" max="4" width="12.85546875" style="1835" hidden="1" customWidth="1"/>
    <col min="5" max="5" width="10" style="1835" hidden="1" customWidth="1"/>
    <col min="6" max="6" width="8.7109375" style="1835" hidden="1" customWidth="1"/>
    <col min="7" max="7" width="7.5703125" style="1835" hidden="1" customWidth="1"/>
    <col min="8" max="8" width="11.42578125" style="1835" hidden="1" customWidth="1"/>
    <col min="9" max="9" width="12" style="1835" hidden="1" customWidth="1"/>
    <col min="10" max="10" width="9.85546875" style="1835" hidden="1" customWidth="1"/>
    <col min="11" max="11" width="11.42578125" style="1835" hidden="1" customWidth="1"/>
    <col min="12" max="12" width="19.140625" style="1965" hidden="1" customWidth="1"/>
    <col min="13" max="14" width="12.28515625" style="1948" hidden="1" customWidth="1"/>
    <col min="15" max="15" width="23.42578125" style="1948" hidden="1" customWidth="1"/>
    <col min="16" max="16" width="3.7109375" style="1948" hidden="1" customWidth="1"/>
    <col min="17" max="17" width="3.7109375" style="1949" hidden="1" customWidth="1"/>
    <col min="18" max="18" width="3.7109375" style="1954" customWidth="1"/>
    <col min="19" max="19" width="12.7109375" style="1955" customWidth="1"/>
    <col min="20" max="20" width="32" style="1921" customWidth="1"/>
    <col min="21" max="21" width="0.140625" style="1921" customWidth="1"/>
    <col min="22" max="25" width="21.7109375" style="1921" hidden="1" customWidth="1"/>
    <col min="26" max="26" width="11.7109375" style="1921" hidden="1" customWidth="1"/>
    <col min="27" max="27" width="3.7109375" style="1921" hidden="1" customWidth="1"/>
    <col min="28" max="28" width="11.7109375" style="1921" hidden="1" customWidth="1"/>
    <col min="29" max="29" width="8.5703125" style="1921" hidden="1" customWidth="1"/>
    <col min="30" max="32" width="3.7109375" style="1921" customWidth="1"/>
    <col min="33" max="33" width="24.7109375" style="1921" customWidth="1"/>
    <col min="34" max="36" width="3.7109375" style="1921" customWidth="1"/>
    <col min="37" max="37" width="24.7109375" style="1921" customWidth="1"/>
    <col min="38" max="40" width="3.7109375" style="1921" customWidth="1"/>
    <col min="41" max="41" width="18.85546875" style="1921" customWidth="1"/>
    <col min="42" max="44" width="3.7109375" style="1921" customWidth="1"/>
    <col min="45" max="45" width="18.85546875" style="1921" customWidth="1"/>
    <col min="46" max="49" width="21.7109375" style="1921" customWidth="1"/>
    <col min="50" max="50" width="11.7109375" style="1921" customWidth="1"/>
    <col min="51" max="51" width="3.7109375" style="1921" customWidth="1"/>
    <col min="52" max="52" width="11.7109375" style="1921" customWidth="1"/>
    <col min="53" max="53" width="8.5703125" style="1921" hidden="1" customWidth="1"/>
    <col min="54" max="54" width="4.7109375" style="1921" customWidth="1"/>
    <col min="55" max="55" width="115.7109375" style="1921"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80"/>
      <c r="B2" s="1280"/>
      <c r="C2" s="1280"/>
      <c r="D2" s="1280"/>
      <c r="E2" s="4759">
        <v>1</v>
      </c>
      <c r="F2" s="1280"/>
      <c r="G2" s="1280"/>
      <c r="H2" s="1280"/>
      <c r="I2" s="1280"/>
      <c r="J2" s="1280"/>
      <c r="K2" s="1280"/>
      <c r="L2" s="1281"/>
      <c r="M2" s="1282"/>
      <c r="N2" s="1282"/>
      <c r="O2" s="1282"/>
      <c r="P2" s="1326"/>
      <c r="Q2" s="787"/>
      <c r="R2" s="281"/>
      <c r="S2" s="1404" t="e">
        <f>INDEX(PT_DIFFERENTIATION_NUM_NTAR,MATCH(A2,PT_DIFFERENTIATION_NTAR_ID,0))</f>
        <v>#N/A</v>
      </c>
      <c r="T2" s="217" t="s">
        <v>185</v>
      </c>
      <c r="U2" s="219"/>
      <c r="V2" s="4746"/>
      <c r="W2" s="4746"/>
      <c r="X2" s="4746"/>
      <c r="Y2" s="4746"/>
      <c r="Z2" s="4746"/>
      <c r="AA2" s="4746"/>
      <c r="AB2" s="4746"/>
      <c r="AC2" s="4747"/>
      <c r="AD2" s="4745" t="e">
        <f>INDEX(PT_DIFFERENTIATION_NTAR,MATCH(A2,PT_DIFFERENTIATION_NTAR_ID,0))</f>
        <v>#N/A</v>
      </c>
      <c r="AE2" s="4746"/>
      <c r="AF2" s="4746"/>
      <c r="AG2" s="4746"/>
      <c r="AH2" s="4746"/>
      <c r="AI2" s="4746"/>
      <c r="AJ2" s="4746"/>
      <c r="AK2" s="4746"/>
      <c r="AL2" s="4746"/>
      <c r="AM2" s="4746"/>
      <c r="AN2" s="4746"/>
      <c r="AO2" s="4746"/>
      <c r="AP2" s="4746"/>
      <c r="AQ2" s="4746"/>
      <c r="AR2" s="4746"/>
      <c r="AS2" s="4746"/>
      <c r="AT2" s="4746"/>
      <c r="AU2" s="4746"/>
      <c r="AV2" s="4746"/>
      <c r="AW2" s="4746"/>
      <c r="AX2" s="4746"/>
      <c r="AY2" s="4746"/>
      <c r="AZ2" s="4746"/>
      <c r="BA2" s="4746"/>
      <c r="BB2" s="474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4760"/>
      <c r="F3" s="4759">
        <v>1</v>
      </c>
      <c r="G3" s="1280"/>
      <c r="H3" s="1280"/>
      <c r="I3" s="1280"/>
      <c r="J3" s="1280"/>
      <c r="K3" s="1280"/>
      <c r="L3" s="1281"/>
      <c r="M3" s="1282"/>
      <c r="N3" s="1282"/>
      <c r="O3" s="1282"/>
      <c r="P3" s="1327"/>
      <c r="Q3" s="1328"/>
      <c r="R3" s="279"/>
      <c r="S3" s="1404" t="e">
        <f>INDEX(PT_DIFFERENTIATION_NUM_TER,MATCH(B3,PT_DIFFERENTIATION_TER_ID,0))</f>
        <v>#N/A</v>
      </c>
      <c r="T3" s="229" t="s">
        <v>538</v>
      </c>
      <c r="U3" s="219"/>
      <c r="V3" s="4746"/>
      <c r="W3" s="4746"/>
      <c r="X3" s="4746"/>
      <c r="Y3" s="4746"/>
      <c r="Z3" s="4746"/>
      <c r="AA3" s="4746"/>
      <c r="AB3" s="4746"/>
      <c r="AC3" s="4747"/>
      <c r="AD3" s="4745" t="e">
        <f>INDEX(PT_DIFFERENTIATION_TER,MATCH(B3,PT_DIFFERENTIATION_TER_ID,0))</f>
        <v>#N/A</v>
      </c>
      <c r="AE3" s="4746"/>
      <c r="AF3" s="4746"/>
      <c r="AG3" s="4746"/>
      <c r="AH3" s="4746"/>
      <c r="AI3" s="4746"/>
      <c r="AJ3" s="4746"/>
      <c r="AK3" s="4746"/>
      <c r="AL3" s="4746"/>
      <c r="AM3" s="4746"/>
      <c r="AN3" s="4746"/>
      <c r="AO3" s="4746"/>
      <c r="AP3" s="4746"/>
      <c r="AQ3" s="4746"/>
      <c r="AR3" s="4746"/>
      <c r="AS3" s="4746"/>
      <c r="AT3" s="4746"/>
      <c r="AU3" s="4746"/>
      <c r="AV3" s="4746"/>
      <c r="AW3" s="4746"/>
      <c r="AX3" s="4746"/>
      <c r="AY3" s="4746"/>
      <c r="AZ3" s="4746"/>
      <c r="BA3" s="4746"/>
      <c r="BB3" s="4747"/>
      <c r="BC3" s="1178" t="s">
        <v>539</v>
      </c>
      <c r="BE3" s="427"/>
      <c r="BF3" s="427" t="str">
        <f t="shared" si="0"/>
        <v>Территория действия тарифа</v>
      </c>
      <c r="BG3" s="427"/>
      <c r="BH3" s="427"/>
    </row>
    <row r="4" spans="1:60" ht="33.75" hidden="1" customHeight="1">
      <c r="A4" s="1280"/>
      <c r="B4" s="1280"/>
      <c r="C4" s="1280"/>
      <c r="D4" s="1280"/>
      <c r="E4" s="4760"/>
      <c r="F4" s="4760"/>
      <c r="G4" s="4759">
        <v>1</v>
      </c>
      <c r="H4" s="1280"/>
      <c r="I4" s="1280"/>
      <c r="J4" s="1280"/>
      <c r="K4" s="1280"/>
      <c r="L4" s="1281"/>
      <c r="M4" s="1282"/>
      <c r="N4" s="1282"/>
      <c r="O4" s="1282"/>
      <c r="P4" s="1329"/>
      <c r="Q4" s="1328"/>
      <c r="R4" s="279"/>
      <c r="S4" s="1404" t="e">
        <f>INDEX(PT_DIFFERENTIATION_NUM_CS,MATCH(C4,PT_DIFFERENTIATION_CS_ID,0))</f>
        <v>#N/A</v>
      </c>
      <c r="T4" s="230" t="s">
        <v>671</v>
      </c>
      <c r="U4" s="219"/>
      <c r="V4" s="4746"/>
      <c r="W4" s="4746"/>
      <c r="X4" s="4746"/>
      <c r="Y4" s="4746"/>
      <c r="Z4" s="4746"/>
      <c r="AA4" s="4746"/>
      <c r="AB4" s="4746"/>
      <c r="AC4" s="4747"/>
      <c r="AD4" s="4745" t="e">
        <f>INDEX(PT_DIFFERENTIATION_CS,MATCH(C4,PT_DIFFERENTIATION_CS_ID,0))</f>
        <v>#N/A</v>
      </c>
      <c r="AE4" s="4746"/>
      <c r="AF4" s="4746"/>
      <c r="AG4" s="4746"/>
      <c r="AH4" s="4746"/>
      <c r="AI4" s="4746"/>
      <c r="AJ4" s="4746"/>
      <c r="AK4" s="4746"/>
      <c r="AL4" s="4746"/>
      <c r="AM4" s="4746"/>
      <c r="AN4" s="4746"/>
      <c r="AO4" s="4746"/>
      <c r="AP4" s="4746"/>
      <c r="AQ4" s="4746"/>
      <c r="AR4" s="4746"/>
      <c r="AS4" s="4746"/>
      <c r="AT4" s="4746"/>
      <c r="AU4" s="4746"/>
      <c r="AV4" s="4746"/>
      <c r="AW4" s="4746"/>
      <c r="AX4" s="4746"/>
      <c r="AY4" s="4746"/>
      <c r="AZ4" s="4746"/>
      <c r="BA4" s="4746"/>
      <c r="BB4" s="4747"/>
      <c r="BC4" s="1178" t="s">
        <v>672</v>
      </c>
      <c r="BE4" s="427"/>
      <c r="BF4" s="427" t="str">
        <f t="shared" si="0"/>
        <v>Наименование централизованной системы горячего водоснабжения</v>
      </c>
      <c r="BG4" s="427"/>
      <c r="BH4" s="427"/>
    </row>
    <row r="5" spans="1:60" s="1821" customFormat="1" ht="14.25" hidden="1" customHeight="1">
      <c r="A5" s="1261"/>
      <c r="B5" s="1261"/>
      <c r="C5" s="1261"/>
      <c r="D5" s="1261"/>
      <c r="E5" s="4760"/>
      <c r="F5" s="4760"/>
      <c r="G5" s="4760"/>
      <c r="H5" s="4759">
        <v>1</v>
      </c>
      <c r="I5" s="1261"/>
      <c r="J5" s="1261"/>
      <c r="K5" s="1261"/>
      <c r="L5" s="1264"/>
      <c r="M5" s="1234"/>
      <c r="N5" s="1234"/>
      <c r="O5" s="1234"/>
      <c r="P5" s="1408"/>
      <c r="Q5" s="1409"/>
      <c r="R5" s="283"/>
      <c r="S5" s="950"/>
      <c r="T5" s="1410"/>
      <c r="U5" s="1301"/>
      <c r="V5" s="4787"/>
      <c r="W5" s="4787"/>
      <c r="X5" s="4787"/>
      <c r="Y5" s="4787"/>
      <c r="Z5" s="4787"/>
      <c r="AA5" s="4787"/>
      <c r="AB5" s="4787"/>
      <c r="AC5" s="4788"/>
      <c r="AD5" s="4786"/>
      <c r="AE5" s="4787"/>
      <c r="AF5" s="4787"/>
      <c r="AG5" s="4787"/>
      <c r="AH5" s="4787"/>
      <c r="AI5" s="4787"/>
      <c r="AJ5" s="4787"/>
      <c r="AK5" s="4787"/>
      <c r="AL5" s="4787"/>
      <c r="AM5" s="4787"/>
      <c r="AN5" s="4787"/>
      <c r="AO5" s="4787"/>
      <c r="AP5" s="4787"/>
      <c r="AQ5" s="4787"/>
      <c r="AR5" s="4787"/>
      <c r="AS5" s="4787"/>
      <c r="AT5" s="4787"/>
      <c r="AU5" s="4787"/>
      <c r="AV5" s="4787"/>
      <c r="AW5" s="4787"/>
      <c r="AX5" s="4787"/>
      <c r="AY5" s="4787"/>
      <c r="AZ5" s="4787"/>
      <c r="BA5" s="4787"/>
      <c r="BB5" s="4788"/>
      <c r="BC5" s="1302" t="s">
        <v>543</v>
      </c>
      <c r="BE5" s="427"/>
      <c r="BF5" s="427" t="str">
        <f t="shared" si="0"/>
        <v/>
      </c>
      <c r="BG5" s="427"/>
      <c r="BH5" s="427"/>
    </row>
    <row r="6" spans="1:60" s="1821" customFormat="1" ht="14.25" hidden="1" customHeight="1">
      <c r="A6" s="1261"/>
      <c r="B6" s="1261"/>
      <c r="C6" s="1261"/>
      <c r="D6" s="1261"/>
      <c r="E6" s="4760"/>
      <c r="F6" s="4760"/>
      <c r="G6" s="4760"/>
      <c r="H6" s="4760"/>
      <c r="I6" s="4757" t="str">
        <f>S5&amp;".1"</f>
        <v>.1</v>
      </c>
      <c r="J6" s="1261"/>
      <c r="K6" s="1261"/>
      <c r="L6" s="1264" t="s">
        <v>544</v>
      </c>
      <c r="M6" s="437"/>
      <c r="N6" s="437"/>
      <c r="O6" s="437"/>
      <c r="P6" s="4758">
        <v>1</v>
      </c>
      <c r="Q6" s="1392"/>
      <c r="R6" s="282"/>
      <c r="S6" s="950"/>
      <c r="T6" s="1300"/>
      <c r="U6" s="1301"/>
      <c r="V6" s="4787"/>
      <c r="W6" s="4787"/>
      <c r="X6" s="4787"/>
      <c r="Y6" s="4787"/>
      <c r="Z6" s="4787"/>
      <c r="AA6" s="4787"/>
      <c r="AB6" s="4787"/>
      <c r="AC6" s="4788"/>
      <c r="AD6" s="4786"/>
      <c r="AE6" s="4787"/>
      <c r="AF6" s="4787"/>
      <c r="AG6" s="4787"/>
      <c r="AH6" s="4787"/>
      <c r="AI6" s="4787"/>
      <c r="AJ6" s="4787"/>
      <c r="AK6" s="4787"/>
      <c r="AL6" s="4787"/>
      <c r="AM6" s="4787"/>
      <c r="AN6" s="4787"/>
      <c r="AO6" s="4787"/>
      <c r="AP6" s="4787"/>
      <c r="AQ6" s="4787"/>
      <c r="AR6" s="4787"/>
      <c r="AS6" s="4787"/>
      <c r="AT6" s="4787"/>
      <c r="AU6" s="4787"/>
      <c r="AV6" s="4787"/>
      <c r="AW6" s="4787"/>
      <c r="AX6" s="4787"/>
      <c r="AY6" s="4787"/>
      <c r="AZ6" s="4787"/>
      <c r="BA6" s="4787"/>
      <c r="BB6" s="4788"/>
      <c r="BC6" s="1302"/>
      <c r="BE6" s="427"/>
      <c r="BF6" s="427" t="str">
        <f t="shared" si="0"/>
        <v/>
      </c>
      <c r="BG6" s="427"/>
      <c r="BH6" s="427"/>
    </row>
    <row r="7" spans="1:60" s="1821" customFormat="1" ht="14.25" hidden="1" customHeight="1">
      <c r="A7" s="1261"/>
      <c r="B7" s="1261"/>
      <c r="C7" s="1261"/>
      <c r="D7" s="1261"/>
      <c r="E7" s="4760"/>
      <c r="F7" s="4760"/>
      <c r="G7" s="4760"/>
      <c r="H7" s="4760"/>
      <c r="I7" s="4780"/>
      <c r="J7" s="4757" t="str">
        <f>S5&amp;".1"</f>
        <v>.1</v>
      </c>
      <c r="K7" s="1261"/>
      <c r="L7" s="1264"/>
      <c r="M7" s="437"/>
      <c r="N7" s="437"/>
      <c r="O7" s="437"/>
      <c r="P7" s="4758"/>
      <c r="Q7" s="4758">
        <v>1</v>
      </c>
      <c r="R7" s="283"/>
      <c r="S7" s="950"/>
      <c r="T7" s="1316"/>
      <c r="U7" s="1301"/>
      <c r="V7" s="4787"/>
      <c r="W7" s="4787"/>
      <c r="X7" s="4787"/>
      <c r="Y7" s="4787"/>
      <c r="Z7" s="4787"/>
      <c r="AA7" s="4787"/>
      <c r="AB7" s="4787"/>
      <c r="AC7" s="4788"/>
      <c r="AD7" s="4786"/>
      <c r="AE7" s="4787"/>
      <c r="AF7" s="4787"/>
      <c r="AG7" s="4787"/>
      <c r="AH7" s="4787"/>
      <c r="AI7" s="4787"/>
      <c r="AJ7" s="4787"/>
      <c r="AK7" s="4787"/>
      <c r="AL7" s="4787"/>
      <c r="AM7" s="4787"/>
      <c r="AN7" s="4787"/>
      <c r="AO7" s="4787"/>
      <c r="AP7" s="4787"/>
      <c r="AQ7" s="4787"/>
      <c r="AR7" s="4787"/>
      <c r="AS7" s="4787"/>
      <c r="AT7" s="4787"/>
      <c r="AU7" s="4787"/>
      <c r="AV7" s="4787"/>
      <c r="AW7" s="4787"/>
      <c r="AX7" s="4787"/>
      <c r="AY7" s="4787"/>
      <c r="AZ7" s="4787"/>
      <c r="BA7" s="4787"/>
      <c r="BB7" s="4788"/>
      <c r="BC7" s="1302"/>
      <c r="BE7" s="427"/>
      <c r="BF7" s="427" t="str">
        <f t="shared" si="0"/>
        <v/>
      </c>
      <c r="BG7" s="427"/>
      <c r="BH7" s="427"/>
    </row>
    <row r="8" spans="1:60" ht="11.25" hidden="1" customHeight="1">
      <c r="A8" s="1280"/>
      <c r="B8" s="1280"/>
      <c r="C8" s="1280"/>
      <c r="D8" s="1280"/>
      <c r="E8" s="4760"/>
      <c r="F8" s="4760"/>
      <c r="G8" s="4760"/>
      <c r="H8" s="4760"/>
      <c r="I8" s="4780"/>
      <c r="J8" s="4780"/>
      <c r="K8" s="4757" t="e">
        <f>S4&amp;".1"</f>
        <v>#N/A</v>
      </c>
      <c r="L8" s="1281"/>
      <c r="P8" s="4758"/>
      <c r="Q8" s="4758"/>
      <c r="R8" s="4815">
        <v>1</v>
      </c>
      <c r="S8" s="4809" t="e">
        <f>$K8</f>
        <v>#N/A</v>
      </c>
      <c r="T8" s="4827"/>
      <c r="U8" s="219"/>
      <c r="V8" s="669"/>
      <c r="W8" s="1177"/>
      <c r="X8" s="669"/>
      <c r="Y8" s="1177"/>
      <c r="Z8" s="1645"/>
      <c r="AA8" s="1381" t="s">
        <v>65</v>
      </c>
      <c r="AB8" s="1645"/>
      <c r="AC8" s="1381" t="s">
        <v>65</v>
      </c>
      <c r="AD8" s="4684" t="s">
        <v>65</v>
      </c>
      <c r="AE8" s="4795"/>
      <c r="AF8" s="4714">
        <v>1</v>
      </c>
      <c r="AG8" s="4831"/>
      <c r="AH8" s="4608" t="s">
        <v>65</v>
      </c>
      <c r="AI8" s="4795"/>
      <c r="AJ8" s="4714">
        <v>1</v>
      </c>
      <c r="AK8" s="4830" t="s">
        <v>24</v>
      </c>
      <c r="AL8" s="4608" t="s">
        <v>65</v>
      </c>
      <c r="AM8" s="4704"/>
      <c r="AN8" s="4714">
        <v>1</v>
      </c>
      <c r="AO8" s="4824"/>
      <c r="AP8" s="4825" t="s">
        <v>65</v>
      </c>
      <c r="AQ8" s="232"/>
      <c r="AR8" s="1397">
        <v>1</v>
      </c>
      <c r="AS8" s="1403" t="s">
        <v>24</v>
      </c>
      <c r="AT8" s="669"/>
      <c r="AU8" s="1177"/>
      <c r="AV8" s="669"/>
      <c r="AW8" s="1177"/>
      <c r="AX8" s="1645"/>
      <c r="AY8" s="1381" t="s">
        <v>65</v>
      </c>
      <c r="AZ8" s="1645"/>
      <c r="BA8" s="1381" t="s">
        <v>65</v>
      </c>
      <c r="BB8" s="1266"/>
      <c r="BC8" s="4754" t="s">
        <v>637</v>
      </c>
      <c r="BE8" s="427"/>
      <c r="BF8" s="427" t="str">
        <f t="shared" si="0"/>
        <v/>
      </c>
      <c r="BG8" s="427"/>
      <c r="BH8" s="427"/>
    </row>
    <row r="9" spans="1:60" ht="11.25" hidden="1" customHeight="1">
      <c r="A9" s="1280"/>
      <c r="B9" s="1280"/>
      <c r="C9" s="1280"/>
      <c r="D9" s="1280"/>
      <c r="E9" s="4760"/>
      <c r="F9" s="4760"/>
      <c r="G9" s="4760"/>
      <c r="H9" s="4760"/>
      <c r="I9" s="4780"/>
      <c r="J9" s="4780"/>
      <c r="K9" s="4757"/>
      <c r="L9" s="1281"/>
      <c r="P9" s="4758"/>
      <c r="Q9" s="4758"/>
      <c r="R9" s="4815"/>
      <c r="S9" s="4810"/>
      <c r="T9" s="4828"/>
      <c r="U9" s="219"/>
      <c r="V9" s="1310"/>
      <c r="W9" s="1407"/>
      <c r="X9" s="1310"/>
      <c r="Y9" s="1407"/>
      <c r="Z9" s="1310"/>
      <c r="AA9" s="1310"/>
      <c r="AB9" s="1310"/>
      <c r="AC9" s="1310"/>
      <c r="AD9" s="4685"/>
      <c r="AE9" s="4795"/>
      <c r="AF9" s="4714"/>
      <c r="AG9" s="4831"/>
      <c r="AH9" s="4608"/>
      <c r="AI9" s="4795"/>
      <c r="AJ9" s="4714"/>
      <c r="AK9" s="4830"/>
      <c r="AL9" s="4608"/>
      <c r="AM9" s="4709"/>
      <c r="AN9" s="4714"/>
      <c r="AO9" s="4824"/>
      <c r="AP9" s="4826"/>
      <c r="AQ9" s="239"/>
      <c r="AR9" s="351"/>
      <c r="AS9" s="351" t="s">
        <v>638</v>
      </c>
      <c r="AT9" s="1310"/>
      <c r="AU9" s="1407"/>
      <c r="AV9" s="1310"/>
      <c r="AW9" s="1407"/>
      <c r="AX9" s="1310"/>
      <c r="AY9" s="1310"/>
      <c r="AZ9" s="1310"/>
      <c r="BA9" s="1310"/>
      <c r="BB9" s="1314"/>
      <c r="BC9" s="4755"/>
      <c r="BE9" s="427"/>
      <c r="BF9" s="427"/>
      <c r="BG9" s="427"/>
      <c r="BH9" s="427"/>
    </row>
    <row r="10" spans="1:60" ht="11.25" hidden="1" customHeight="1">
      <c r="A10" s="1280"/>
      <c r="B10" s="1280"/>
      <c r="C10" s="1280"/>
      <c r="D10" s="1280"/>
      <c r="E10" s="4760"/>
      <c r="F10" s="4760"/>
      <c r="G10" s="4760"/>
      <c r="H10" s="4760"/>
      <c r="I10" s="4780"/>
      <c r="J10" s="4780"/>
      <c r="K10" s="4757"/>
      <c r="L10" s="1281"/>
      <c r="P10" s="4758"/>
      <c r="Q10" s="4758"/>
      <c r="R10" s="4815"/>
      <c r="S10" s="4810"/>
      <c r="T10" s="4828"/>
      <c r="U10" s="219"/>
      <c r="V10" s="1310"/>
      <c r="W10" s="1407"/>
      <c r="X10" s="1310"/>
      <c r="Y10" s="1407"/>
      <c r="Z10" s="1310"/>
      <c r="AA10" s="1310"/>
      <c r="AB10" s="1310"/>
      <c r="AC10" s="1310"/>
      <c r="AD10" s="4685"/>
      <c r="AE10" s="4795"/>
      <c r="AF10" s="4714"/>
      <c r="AG10" s="4831"/>
      <c r="AH10" s="4608"/>
      <c r="AI10" s="4795"/>
      <c r="AJ10" s="4714"/>
      <c r="AK10" s="4830"/>
      <c r="AL10" s="4608"/>
      <c r="AM10" s="239"/>
      <c r="AN10" s="1411"/>
      <c r="AO10" s="1411" t="s">
        <v>639</v>
      </c>
      <c r="AP10" s="351"/>
      <c r="AQ10" s="351"/>
      <c r="AR10" s="351"/>
      <c r="AS10" s="1310"/>
      <c r="AT10" s="1310"/>
      <c r="AU10" s="1407"/>
      <c r="AV10" s="1310"/>
      <c r="AW10" s="1407"/>
      <c r="AX10" s="1310"/>
      <c r="AY10" s="1310"/>
      <c r="AZ10" s="1310"/>
      <c r="BA10" s="1310"/>
      <c r="BB10" s="1314"/>
      <c r="BC10" s="4755"/>
      <c r="BE10" s="427"/>
      <c r="BF10" s="427"/>
      <c r="BG10" s="427"/>
      <c r="BH10" s="427"/>
    </row>
    <row r="11" spans="1:60" ht="11.25" hidden="1" customHeight="1">
      <c r="A11" s="1280"/>
      <c r="B11" s="1280"/>
      <c r="C11" s="1280"/>
      <c r="D11" s="1280"/>
      <c r="E11" s="4760"/>
      <c r="F11" s="4760"/>
      <c r="G11" s="4760"/>
      <c r="H11" s="4760"/>
      <c r="I11" s="4780"/>
      <c r="J11" s="4780"/>
      <c r="K11" s="4757"/>
      <c r="L11" s="1281"/>
      <c r="P11" s="4758"/>
      <c r="Q11" s="4758"/>
      <c r="R11" s="4815"/>
      <c r="S11" s="4810"/>
      <c r="T11" s="4828"/>
      <c r="U11" s="219"/>
      <c r="V11" s="1310"/>
      <c r="W11" s="1407"/>
      <c r="X11" s="1310"/>
      <c r="Y11" s="1407"/>
      <c r="Z11" s="1310"/>
      <c r="AA11" s="1310"/>
      <c r="AB11" s="1310"/>
      <c r="AC11" s="1310"/>
      <c r="AD11" s="4685"/>
      <c r="AE11" s="4795"/>
      <c r="AF11" s="4714"/>
      <c r="AG11" s="4831"/>
      <c r="AH11" s="4608"/>
      <c r="AI11" s="213"/>
      <c r="AJ11" s="350"/>
      <c r="AK11" s="234" t="s">
        <v>640</v>
      </c>
      <c r="AL11" s="1310"/>
      <c r="AM11" s="1310"/>
      <c r="AN11" s="1310"/>
      <c r="AO11" s="1310"/>
      <c r="AP11" s="1310"/>
      <c r="AQ11" s="1310"/>
      <c r="AR11" s="1310"/>
      <c r="AS11" s="1310"/>
      <c r="AT11" s="1310"/>
      <c r="AU11" s="1407"/>
      <c r="AV11" s="1310"/>
      <c r="AW11" s="1407"/>
      <c r="AX11" s="1310"/>
      <c r="AY11" s="1310"/>
      <c r="AZ11" s="1310"/>
      <c r="BA11" s="1310"/>
      <c r="BB11" s="1314"/>
      <c r="BC11" s="4755"/>
      <c r="BE11" s="427"/>
      <c r="BF11" s="427"/>
      <c r="BG11" s="427"/>
      <c r="BH11" s="427"/>
    </row>
    <row r="12" spans="1:60" ht="11.25" hidden="1" customHeight="1">
      <c r="A12" s="1280"/>
      <c r="B12" s="1280"/>
      <c r="C12" s="1280"/>
      <c r="D12" s="1280"/>
      <c r="E12" s="4760"/>
      <c r="F12" s="4760"/>
      <c r="G12" s="4760"/>
      <c r="H12" s="4760"/>
      <c r="I12" s="4780"/>
      <c r="J12" s="4780"/>
      <c r="K12" s="4757"/>
      <c r="L12" s="1281"/>
      <c r="P12" s="4758"/>
      <c r="Q12" s="4758"/>
      <c r="R12" s="4815"/>
      <c r="S12" s="4811"/>
      <c r="T12" s="4829"/>
      <c r="U12" s="219"/>
      <c r="V12" s="1310"/>
      <c r="W12" s="1311" t="str">
        <f>Z8&amp;"-"&amp;AB8</f>
        <v>-</v>
      </c>
      <c r="X12" s="1310"/>
      <c r="Y12" s="1311" t="str">
        <f>AB8&amp;"-"&amp;AD8</f>
        <v>-да</v>
      </c>
      <c r="Z12" s="1310"/>
      <c r="AA12" s="1310"/>
      <c r="AB12" s="1310"/>
      <c r="AC12" s="1310"/>
      <c r="AD12" s="4613"/>
      <c r="AE12" s="233"/>
      <c r="AF12" s="235"/>
      <c r="AG12" s="351" t="s">
        <v>641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4755"/>
      <c r="BE12" s="427"/>
      <c r="BF12" s="427" t="str">
        <f t="shared" ref="BF12:BF18" si="1">IF(T12="","",T12)</f>
        <v/>
      </c>
      <c r="BG12" s="427"/>
      <c r="BH12" s="427"/>
    </row>
    <row r="13" spans="1:60" ht="11.25" hidden="1" customHeight="1">
      <c r="A13" s="1280"/>
      <c r="B13" s="1280"/>
      <c r="C13" s="1280"/>
      <c r="D13" s="1280"/>
      <c r="E13" s="4760"/>
      <c r="F13" s="4760"/>
      <c r="G13" s="4760"/>
      <c r="H13" s="4760"/>
      <c r="I13" s="4780"/>
      <c r="J13" s="4757"/>
      <c r="K13" s="1280"/>
      <c r="L13" s="1281"/>
      <c r="P13" s="4758"/>
      <c r="Q13" s="4758"/>
      <c r="R13" s="282"/>
      <c r="S13" s="1199"/>
      <c r="T13" s="206" t="s">
        <v>605</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4756"/>
      <c r="BE13" s="427"/>
      <c r="BF13" s="427" t="str">
        <f t="shared" si="1"/>
        <v>Добавить строку</v>
      </c>
      <c r="BG13" s="427"/>
      <c r="BH13" s="427"/>
    </row>
    <row r="14" spans="1:60" s="1821" customFormat="1" ht="14.25" hidden="1" customHeight="1">
      <c r="A14" s="1261"/>
      <c r="B14" s="1261"/>
      <c r="C14" s="1261"/>
      <c r="D14" s="1261"/>
      <c r="E14" s="4760"/>
      <c r="F14" s="4760"/>
      <c r="G14" s="4760"/>
      <c r="H14" s="4760"/>
      <c r="I14" s="4757"/>
      <c r="J14" s="1261"/>
      <c r="K14" s="1261"/>
      <c r="L14" s="1264"/>
      <c r="M14" s="437"/>
      <c r="N14" s="437"/>
      <c r="O14" s="437"/>
      <c r="P14" s="475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21" customFormat="1" ht="14.25" hidden="1" customHeight="1">
      <c r="A15" s="1261"/>
      <c r="B15" s="1261"/>
      <c r="C15" s="1261"/>
      <c r="D15" s="1261"/>
      <c r="E15" s="4760"/>
      <c r="F15" s="4760"/>
      <c r="G15" s="4760"/>
      <c r="H15" s="4759"/>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46" customFormat="1" ht="14.25" hidden="1" customHeight="1">
      <c r="A16" s="1261"/>
      <c r="B16" s="1261"/>
      <c r="C16" s="1261"/>
      <c r="D16" s="1233"/>
      <c r="E16" s="4760"/>
      <c r="F16" s="4760"/>
      <c r="G16" s="4759"/>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46" customFormat="1" ht="14.25" hidden="1" customHeight="1">
      <c r="A17" s="1261"/>
      <c r="B17" s="1261"/>
      <c r="C17" s="1233"/>
      <c r="D17" s="1233"/>
      <c r="E17" s="4760"/>
      <c r="F17" s="4759"/>
      <c r="G17" s="1233"/>
      <c r="H17" s="1233"/>
      <c r="I17" s="1233"/>
      <c r="J17" s="1233"/>
      <c r="K17" s="1233"/>
      <c r="L17" s="1405"/>
      <c r="M17" s="1240"/>
      <c r="N17" s="1240"/>
      <c r="P17" s="1235"/>
      <c r="Q17" s="1236"/>
      <c r="R17" s="1235"/>
      <c r="S17" s="1241"/>
      <c r="T17" s="1244" t="s">
        <v>316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21" customFormat="1" ht="14.25" hidden="1" customHeight="1">
      <c r="A18" s="1261"/>
      <c r="B18" s="1261"/>
      <c r="C18" s="1261"/>
      <c r="D18" s="1261"/>
      <c r="E18" s="4759"/>
      <c r="F18" s="1261"/>
      <c r="G18" s="1261"/>
      <c r="H18" s="1261"/>
      <c r="I18" s="1261"/>
      <c r="J18" s="1261"/>
      <c r="K18" s="1261"/>
      <c r="L18" s="1264"/>
      <c r="M18" s="1240"/>
      <c r="N18" s="1240"/>
      <c r="O18" s="445"/>
      <c r="P18" s="314"/>
      <c r="Q18" s="1262"/>
      <c r="R18" s="314"/>
      <c r="S18" s="1241"/>
      <c r="T18" s="1244" t="s">
        <v>317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65</v>
      </c>
      <c r="AZ20" s="1647"/>
      <c r="BA20" s="1396" t="s">
        <v>65</v>
      </c>
    </row>
    <row r="21" spans="1:60" ht="14.25" hidden="1" customHeight="1">
      <c r="BD21" s="423"/>
      <c r="BE21" s="423"/>
      <c r="BF21" s="423"/>
      <c r="BG21" s="423"/>
      <c r="BH21" s="423"/>
    </row>
    <row r="22" spans="1:60" ht="14.25" hidden="1" customHeight="1">
      <c r="O22" s="1284" t="s">
        <v>556</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59" customFormat="1" ht="14.25" hidden="1" customHeight="1">
      <c r="M24" s="1419"/>
      <c r="N24" s="1419"/>
      <c r="O24" s="1420" t="s">
        <v>557</v>
      </c>
      <c r="P24" s="1419"/>
      <c r="Q24" s="1421"/>
      <c r="R24" s="1421"/>
      <c r="AA24" s="1418" t="s">
        <v>559</v>
      </c>
      <c r="AC24" s="1418" t="s">
        <v>560</v>
      </c>
      <c r="AD24" s="1418" t="s">
        <v>606</v>
      </c>
      <c r="AH24" s="1418" t="s">
        <v>606</v>
      </c>
      <c r="AK24" s="1418" t="s">
        <v>642</v>
      </c>
      <c r="AL24" s="1418" t="s">
        <v>606</v>
      </c>
      <c r="AP24" s="1418" t="s">
        <v>606</v>
      </c>
      <c r="AY24" s="1418" t="s">
        <v>559</v>
      </c>
      <c r="BA24" s="1418" t="s">
        <v>560</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474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4743"/>
      <c r="U28" s="4743"/>
      <c r="V28" s="4743"/>
      <c r="W28" s="4743"/>
      <c r="X28" s="4743"/>
      <c r="Y28" s="4743"/>
      <c r="Z28" s="4743"/>
      <c r="AA28" s="4743"/>
      <c r="AB28" s="4743"/>
      <c r="AC28" s="4743"/>
      <c r="AD28" s="4743"/>
      <c r="AE28" s="4743"/>
      <c r="AF28" s="4743"/>
      <c r="AG28" s="4743"/>
      <c r="AH28" s="4743"/>
      <c r="AI28" s="4743"/>
      <c r="AJ28" s="4743"/>
      <c r="AK28" s="4743"/>
      <c r="AL28" s="4743"/>
      <c r="AM28" s="4743"/>
      <c r="AN28" s="4743"/>
      <c r="AO28" s="4743"/>
      <c r="AP28" s="4743"/>
      <c r="AQ28" s="4743"/>
      <c r="AR28" s="4743"/>
      <c r="AS28" s="4743"/>
      <c r="AT28" s="4743"/>
      <c r="AU28" s="4743"/>
      <c r="AV28" s="4743"/>
      <c r="AW28" s="4743"/>
      <c r="AX28" s="4743"/>
      <c r="AY28" s="4743"/>
      <c r="AZ28" s="4743"/>
      <c r="BA28" s="1153"/>
    </row>
    <row r="29" spans="1:60" ht="14.25" customHeight="1">
      <c r="Q29" s="210"/>
      <c r="R29" s="306"/>
      <c r="S29" s="4690" t="str">
        <f>IF(org=0,"Не определено",org)</f>
        <v>ОГКП "Ульяновский областной водоканал"</v>
      </c>
      <c r="T29" s="4690"/>
      <c r="U29" s="4690"/>
      <c r="V29" s="4690"/>
      <c r="W29" s="4690"/>
      <c r="X29" s="4690"/>
      <c r="Y29" s="4690"/>
      <c r="Z29" s="4690"/>
      <c r="AA29" s="4690"/>
      <c r="AB29" s="4690"/>
      <c r="AC29" s="4690"/>
      <c r="AD29" s="4690"/>
      <c r="AE29" s="4690"/>
      <c r="AF29" s="4690"/>
      <c r="AG29" s="4690"/>
      <c r="AH29" s="4690"/>
      <c r="AI29" s="4690"/>
      <c r="AJ29" s="4690"/>
      <c r="AK29" s="4690"/>
      <c r="AL29" s="4690"/>
      <c r="AM29" s="4690"/>
      <c r="AN29" s="4690"/>
      <c r="AO29" s="4690"/>
      <c r="AP29" s="4690"/>
      <c r="AQ29" s="4690"/>
      <c r="AR29" s="4690"/>
      <c r="AS29" s="4690"/>
      <c r="AT29" s="4690"/>
      <c r="AU29" s="4690"/>
      <c r="AV29" s="4690"/>
      <c r="AW29" s="4690"/>
      <c r="AX29" s="4690"/>
      <c r="AY29" s="4690"/>
      <c r="AZ29" s="4690"/>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51" customFormat="1" ht="25.5" customHeight="1">
      <c r="A31" s="1285"/>
      <c r="B31" s="1285"/>
      <c r="C31" s="1285"/>
      <c r="D31" s="1285"/>
      <c r="E31" s="1285"/>
      <c r="F31" s="1285"/>
      <c r="G31" s="1285"/>
      <c r="H31" s="1285"/>
      <c r="I31" s="1285"/>
      <c r="J31" s="1285"/>
      <c r="K31" s="1285"/>
      <c r="L31" s="1286"/>
      <c r="M31" s="1285"/>
      <c r="N31" s="1285"/>
      <c r="O31" s="1285"/>
      <c r="P31" s="1285"/>
      <c r="Q31" s="1285"/>
      <c r="S31" s="4751" t="s">
        <v>38</v>
      </c>
      <c r="T31" s="4751"/>
      <c r="U31" s="1289"/>
      <c r="V31" s="4752" t="str">
        <f>IF(TITLE_NAME_OR_PR_CHANGE="",IF(TITLE_NAME_OR_PR="","",TITLE_NAME_OR_PR),TITLE_NAME_OR_PR_CHANGE)</f>
        <v>Агентство по регулированию цен и тарифов Ульяновской области</v>
      </c>
      <c r="W31" s="4752"/>
      <c r="X31" s="4752"/>
      <c r="Y31" s="4752"/>
      <c r="Z31" s="4752"/>
      <c r="AA31" s="4752"/>
      <c r="AB31" s="4752"/>
      <c r="AC31" s="253"/>
      <c r="AD31" s="4752" t="str">
        <f>IF(TITLE_NAME_OR_PR_CHANGE="",IF(TITLE_NAME_OR_PR="","",TITLE_NAME_OR_PR),TITLE_NAME_OR_PR_CHANGE)</f>
        <v>Агентство по регулированию цен и тарифов Ульяновской области</v>
      </c>
      <c r="AE31" s="4752"/>
      <c r="AF31" s="4752"/>
      <c r="AG31" s="4752"/>
      <c r="AH31" s="4752"/>
      <c r="AI31" s="4752"/>
      <c r="AJ31" s="4752"/>
      <c r="AK31" s="4752"/>
      <c r="AL31" s="4752"/>
      <c r="AM31" s="4752"/>
      <c r="AN31" s="4752"/>
      <c r="AO31" s="4752"/>
      <c r="AP31" s="4752"/>
      <c r="AQ31" s="4752"/>
      <c r="AR31" s="4752"/>
      <c r="AS31" s="4752"/>
      <c r="AT31" s="4752"/>
      <c r="AU31" s="4752"/>
      <c r="AV31" s="4752"/>
      <c r="AW31" s="4752"/>
      <c r="AX31" s="4752"/>
      <c r="AY31" s="4752"/>
      <c r="AZ31" s="4752"/>
      <c r="BA31" s="253"/>
      <c r="BB31" s="253"/>
      <c r="BC31" s="200"/>
      <c r="BD31" s="297"/>
      <c r="BE31" s="297"/>
      <c r="BF31" s="297"/>
      <c r="BG31" s="297"/>
      <c r="BH31" s="297"/>
    </row>
    <row r="32" spans="1:60" s="1951" customFormat="1" ht="18.75" customHeight="1">
      <c r="A32" s="1285"/>
      <c r="B32" s="1285"/>
      <c r="C32" s="1285"/>
      <c r="D32" s="1285"/>
      <c r="E32" s="1285"/>
      <c r="F32" s="1285"/>
      <c r="G32" s="1285"/>
      <c r="H32" s="1285"/>
      <c r="I32" s="1285"/>
      <c r="J32" s="1285"/>
      <c r="K32" s="1285"/>
      <c r="L32" s="1286"/>
      <c r="M32" s="1285"/>
      <c r="N32" s="1285"/>
      <c r="O32" s="1285"/>
      <c r="P32" s="1285"/>
      <c r="Q32" s="1285"/>
      <c r="S32" s="4751" t="s">
        <v>562</v>
      </c>
      <c r="T32" s="4751"/>
      <c r="U32" s="1289"/>
      <c r="V32" s="4761">
        <f>IF(TITLE_DATE_PR_CHANGE="",IF(TITLE_DATE_PR="","",TITLE_DATE_PR),TITLE_DATE_PR_CHANGE)</f>
        <v>45279.639965277776</v>
      </c>
      <c r="W32" s="4761"/>
      <c r="X32" s="4761"/>
      <c r="Y32" s="4761"/>
      <c r="Z32" s="4761"/>
      <c r="AA32" s="4761"/>
      <c r="AB32" s="4761"/>
      <c r="AC32" s="253"/>
      <c r="AD32" s="4761">
        <f>IF(TITLE_DATE_PR_CHANGE="",IF(TITLE_DATE_PR="","",TITLE_DATE_PR),TITLE_DATE_PR_CHANGE)</f>
        <v>45279.639965277776</v>
      </c>
      <c r="AE32" s="4761"/>
      <c r="AF32" s="4761"/>
      <c r="AG32" s="4761"/>
      <c r="AH32" s="4761"/>
      <c r="AI32" s="4761"/>
      <c r="AJ32" s="4761"/>
      <c r="AK32" s="4761"/>
      <c r="AL32" s="4761"/>
      <c r="AM32" s="4761"/>
      <c r="AN32" s="4761"/>
      <c r="AO32" s="4761"/>
      <c r="AP32" s="4761"/>
      <c r="AQ32" s="4761"/>
      <c r="AR32" s="4761"/>
      <c r="AS32" s="4761"/>
      <c r="AT32" s="4761"/>
      <c r="AU32" s="4761"/>
      <c r="AV32" s="4761"/>
      <c r="AW32" s="4761"/>
      <c r="AX32" s="4761"/>
      <c r="AY32" s="4761"/>
      <c r="AZ32" s="4761"/>
      <c r="BA32" s="253"/>
      <c r="BB32" s="253"/>
      <c r="BC32" s="200"/>
      <c r="BD32" s="297"/>
      <c r="BE32" s="297"/>
      <c r="BF32" s="297"/>
      <c r="BG32" s="297"/>
      <c r="BH32" s="297"/>
    </row>
    <row r="33" spans="1:60" s="1951" customFormat="1" ht="18.75" customHeight="1">
      <c r="A33" s="1285"/>
      <c r="B33" s="1285"/>
      <c r="C33" s="1285"/>
      <c r="D33" s="1285"/>
      <c r="E33" s="1285"/>
      <c r="F33" s="1285"/>
      <c r="G33" s="1285"/>
      <c r="H33" s="1285"/>
      <c r="I33" s="1285"/>
      <c r="J33" s="1285"/>
      <c r="K33" s="1285"/>
      <c r="L33" s="1286"/>
      <c r="M33" s="1285"/>
      <c r="N33" s="1285"/>
      <c r="O33" s="1285"/>
      <c r="P33" s="1285"/>
      <c r="Q33" s="1285"/>
      <c r="S33" s="4751" t="s">
        <v>563</v>
      </c>
      <c r="T33" s="4751"/>
      <c r="U33" s="1289"/>
      <c r="V33" s="4752" t="str">
        <f>IF(TITLE_NUMBER_PR_CHANGE="",IF(TITLE_NUMBER_PR="","",TITLE_NUMBER_PR),TITLE_NUMBER_PR_CHANGE)</f>
        <v>233-П</v>
      </c>
      <c r="W33" s="4752"/>
      <c r="X33" s="4752"/>
      <c r="Y33" s="4752"/>
      <c r="Z33" s="4752"/>
      <c r="AA33" s="4752"/>
      <c r="AB33" s="4752"/>
      <c r="AC33" s="253"/>
      <c r="AD33" s="4752" t="str">
        <f>IF(TITLE_NUMBER_PR_CHANGE="",IF(TITLE_NUMBER_PR="","",TITLE_NUMBER_PR),TITLE_NUMBER_PR_CHANGE)</f>
        <v>233-П</v>
      </c>
      <c r="AE33" s="4752"/>
      <c r="AF33" s="4752"/>
      <c r="AG33" s="4752"/>
      <c r="AH33" s="4752"/>
      <c r="AI33" s="4752"/>
      <c r="AJ33" s="4752"/>
      <c r="AK33" s="4752"/>
      <c r="AL33" s="4752"/>
      <c r="AM33" s="4752"/>
      <c r="AN33" s="4752"/>
      <c r="AO33" s="4752"/>
      <c r="AP33" s="4752"/>
      <c r="AQ33" s="4752"/>
      <c r="AR33" s="4752"/>
      <c r="AS33" s="4752"/>
      <c r="AT33" s="4752"/>
      <c r="AU33" s="4752"/>
      <c r="AV33" s="4752"/>
      <c r="AW33" s="4752"/>
      <c r="AX33" s="4752"/>
      <c r="AY33" s="4752"/>
      <c r="AZ33" s="4752"/>
      <c r="BA33" s="253"/>
      <c r="BB33" s="253"/>
      <c r="BC33" s="200"/>
      <c r="BD33" s="297"/>
      <c r="BE33" s="297"/>
      <c r="BF33" s="297"/>
      <c r="BG33" s="297"/>
      <c r="BH33" s="297"/>
    </row>
    <row r="34" spans="1:60" s="1951" customFormat="1" ht="18.75" customHeight="1">
      <c r="A34" s="1285"/>
      <c r="B34" s="1285"/>
      <c r="C34" s="1285"/>
      <c r="D34" s="1285"/>
      <c r="E34" s="1285"/>
      <c r="F34" s="1285"/>
      <c r="G34" s="1285"/>
      <c r="H34" s="1285"/>
      <c r="I34" s="1285"/>
      <c r="J34" s="1285"/>
      <c r="K34" s="1285"/>
      <c r="L34" s="1286"/>
      <c r="M34" s="1285"/>
      <c r="N34" s="1285"/>
      <c r="O34" s="1285"/>
      <c r="P34" s="1285"/>
      <c r="Q34" s="1285"/>
      <c r="S34" s="4751" t="s">
        <v>40</v>
      </c>
      <c r="T34" s="4751"/>
      <c r="U34" s="1289"/>
      <c r="V34" s="4752" t="str">
        <f>IF(TITLE_IST_PUB_CHANGE="",IF(TITLE_IST_PUB="","",TITLE_IST_PUB),TITLE_IST_PUB_CHANGE)</f>
        <v>сайт Агентства по регулированию цен и тарифов Ульяновской области</v>
      </c>
      <c r="W34" s="4752"/>
      <c r="X34" s="4752"/>
      <c r="Y34" s="4752"/>
      <c r="Z34" s="4752"/>
      <c r="AA34" s="4752"/>
      <c r="AB34" s="4752"/>
      <c r="AC34" s="253"/>
      <c r="AD34" s="4752" t="str">
        <f>IF(TITLE_IST_PUB_CHANGE="",IF(TITLE_IST_PUB="","",TITLE_IST_PUB),TITLE_IST_PUB_CHANGE)</f>
        <v>сайт Агентства по регулированию цен и тарифов Ульяновской области</v>
      </c>
      <c r="AE34" s="4752"/>
      <c r="AF34" s="4752"/>
      <c r="AG34" s="4752"/>
      <c r="AH34" s="4752"/>
      <c r="AI34" s="4752"/>
      <c r="AJ34" s="4752"/>
      <c r="AK34" s="4752"/>
      <c r="AL34" s="4752"/>
      <c r="AM34" s="4752"/>
      <c r="AN34" s="4752"/>
      <c r="AO34" s="4752"/>
      <c r="AP34" s="4752"/>
      <c r="AQ34" s="4752"/>
      <c r="AR34" s="4752"/>
      <c r="AS34" s="4752"/>
      <c r="AT34" s="4752"/>
      <c r="AU34" s="4752"/>
      <c r="AV34" s="4752"/>
      <c r="AW34" s="4752"/>
      <c r="AX34" s="4752"/>
      <c r="AY34" s="4752"/>
      <c r="AZ34" s="4752"/>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51" customFormat="1" ht="18.75" hidden="1" customHeight="1">
      <c r="A36" s="1285"/>
      <c r="B36" s="1285"/>
      <c r="C36" s="1285"/>
      <c r="D36" s="1285"/>
      <c r="E36" s="1285"/>
      <c r="F36" s="1285"/>
      <c r="G36" s="1285"/>
      <c r="H36" s="1285"/>
      <c r="I36" s="1285"/>
      <c r="J36" s="1285"/>
      <c r="K36" s="1285"/>
      <c r="L36" s="1286"/>
      <c r="M36" s="1285"/>
      <c r="N36" s="1285"/>
      <c r="O36" s="1285"/>
      <c r="P36" s="1285"/>
      <c r="Q36" s="1285"/>
      <c r="S36" s="4751" t="s">
        <v>562</v>
      </c>
      <c r="T36" s="4751"/>
      <c r="U36" s="1289"/>
      <c r="V36" s="4761">
        <f>IF(TITLE_DATE_PR_CHANGE="",IF(TITLE_DATE_PR="","",TITLE_DATE_PR),TITLE_DATE_PR_CHANGE)</f>
        <v>45279.639965277776</v>
      </c>
      <c r="W36" s="4761"/>
      <c r="X36" s="4761"/>
      <c r="Y36" s="4761"/>
      <c r="Z36" s="4761"/>
      <c r="AA36" s="4761"/>
      <c r="AB36" s="4761"/>
      <c r="AC36" s="253"/>
      <c r="AD36" s="4761">
        <f>IF(TITLE_DATE_PR_CHANGE="",IF(TITLE_DATE_PR="","",TITLE_DATE_PR),TITLE_DATE_PR_CHANGE)</f>
        <v>45279.639965277776</v>
      </c>
      <c r="AE36" s="4761"/>
      <c r="AF36" s="4761"/>
      <c r="AG36" s="4761"/>
      <c r="AH36" s="4761"/>
      <c r="AI36" s="4761"/>
      <c r="AJ36" s="4761"/>
      <c r="AK36" s="4761"/>
      <c r="AL36" s="4761"/>
      <c r="AM36" s="4761"/>
      <c r="AN36" s="4761"/>
      <c r="AO36" s="4761"/>
      <c r="AP36" s="4761"/>
      <c r="AQ36" s="4761"/>
      <c r="AR36" s="4761"/>
      <c r="AS36" s="4761"/>
      <c r="AT36" s="4761"/>
      <c r="AU36" s="4761"/>
      <c r="AV36" s="4761"/>
      <c r="AW36" s="4761"/>
      <c r="AX36" s="4761"/>
      <c r="AY36" s="4761"/>
      <c r="AZ36" s="4761"/>
      <c r="BA36" s="253"/>
      <c r="BB36" s="253"/>
      <c r="BC36" s="200"/>
      <c r="BD36" s="297"/>
      <c r="BE36" s="297"/>
      <c r="BF36" s="297"/>
      <c r="BG36" s="297"/>
      <c r="BH36" s="297"/>
    </row>
    <row r="37" spans="1:60" s="1951" customFormat="1" ht="18.75" hidden="1" customHeight="1">
      <c r="A37" s="1285"/>
      <c r="B37" s="1285"/>
      <c r="C37" s="1285"/>
      <c r="D37" s="1285"/>
      <c r="E37" s="1285"/>
      <c r="F37" s="1285"/>
      <c r="G37" s="1285"/>
      <c r="H37" s="1285"/>
      <c r="I37" s="1285"/>
      <c r="J37" s="1285"/>
      <c r="K37" s="1285"/>
      <c r="L37" s="1286"/>
      <c r="M37" s="1285"/>
      <c r="N37" s="1285"/>
      <c r="O37" s="1285"/>
      <c r="P37" s="1285"/>
      <c r="Q37" s="1285"/>
      <c r="S37" s="4751" t="s">
        <v>563</v>
      </c>
      <c r="T37" s="4751"/>
      <c r="U37" s="1289"/>
      <c r="V37" s="4752" t="str">
        <f>IF(TITLE_NUMBER_PR_CHANGE="",IF(TITLE_NUMBER_PR="","",TITLE_NUMBER_PR),TITLE_NUMBER_PR_CHANGE)</f>
        <v>233-П</v>
      </c>
      <c r="W37" s="4752"/>
      <c r="X37" s="4752"/>
      <c r="Y37" s="4752"/>
      <c r="Z37" s="4752"/>
      <c r="AA37" s="4752"/>
      <c r="AB37" s="4752"/>
      <c r="AC37" s="253"/>
      <c r="AD37" s="4752" t="str">
        <f>IF(TITLE_NUMBER_PR_CHANGE="",IF(TITLE_NUMBER_PR="","",TITLE_NUMBER_PR),TITLE_NUMBER_PR_CHANGE)</f>
        <v>233-П</v>
      </c>
      <c r="AE37" s="4752"/>
      <c r="AF37" s="4752"/>
      <c r="AG37" s="4752"/>
      <c r="AH37" s="4752"/>
      <c r="AI37" s="4752"/>
      <c r="AJ37" s="4752"/>
      <c r="AK37" s="4752"/>
      <c r="AL37" s="4752"/>
      <c r="AM37" s="4752"/>
      <c r="AN37" s="4752"/>
      <c r="AO37" s="4752"/>
      <c r="AP37" s="4752"/>
      <c r="AQ37" s="4752"/>
      <c r="AR37" s="4752"/>
      <c r="AS37" s="4752"/>
      <c r="AT37" s="4752"/>
      <c r="AU37" s="4752"/>
      <c r="AV37" s="4752"/>
      <c r="AW37" s="4752"/>
      <c r="AX37" s="4752"/>
      <c r="AY37" s="4752"/>
      <c r="AZ37" s="4752"/>
      <c r="BA37" s="253"/>
      <c r="BB37" s="253"/>
      <c r="BC37" s="200"/>
      <c r="BD37" s="297"/>
      <c r="BE37" s="297"/>
      <c r="BF37" s="297"/>
      <c r="BG37" s="297"/>
      <c r="BH37" s="297"/>
    </row>
    <row r="38" spans="1:60" s="195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566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566</v>
      </c>
      <c r="BD38" s="297"/>
      <c r="BE38" s="297"/>
      <c r="BF38" s="297"/>
      <c r="BG38" s="297"/>
      <c r="BH38" s="297"/>
    </row>
    <row r="39" spans="1:60" ht="14.25" customHeight="1">
      <c r="Q39" s="210"/>
      <c r="R39" s="306"/>
      <c r="S39" s="1196"/>
      <c r="T39" s="291"/>
      <c r="U39" s="1154"/>
      <c r="V39" s="4753"/>
      <c r="W39" s="4753"/>
      <c r="X39" s="4753"/>
      <c r="Y39" s="4753"/>
      <c r="Z39" s="4753"/>
      <c r="AA39" s="4753"/>
      <c r="AB39" s="4753"/>
      <c r="AC39" s="4753"/>
      <c r="AD39" s="4753"/>
      <c r="AE39" s="4753"/>
      <c r="AF39" s="4753"/>
      <c r="AG39" s="4753"/>
      <c r="AH39" s="4753"/>
      <c r="AI39" s="4753"/>
      <c r="AJ39" s="4753"/>
      <c r="AK39" s="4753"/>
      <c r="AL39" s="4753"/>
      <c r="AM39" s="4753"/>
      <c r="AN39" s="4753"/>
      <c r="AO39" s="4753"/>
      <c r="AP39" s="4753"/>
      <c r="AQ39" s="4753"/>
      <c r="AR39" s="4753"/>
      <c r="AS39" s="4753"/>
      <c r="AT39" s="4753"/>
      <c r="AU39" s="4753"/>
      <c r="AV39" s="4753"/>
      <c r="AW39" s="4753"/>
      <c r="AX39" s="4753"/>
      <c r="AY39" s="4753"/>
      <c r="AZ39" s="4753"/>
      <c r="BA39" s="4753"/>
    </row>
    <row r="40" spans="1:60" ht="14.25" customHeight="1">
      <c r="Q40" s="210"/>
      <c r="R40" s="306"/>
      <c r="S40" s="4627" t="s">
        <v>439</v>
      </c>
      <c r="T40" s="4627"/>
      <c r="U40" s="4627"/>
      <c r="V40" s="4627"/>
      <c r="W40" s="4627"/>
      <c r="X40" s="4627"/>
      <c r="Y40" s="4627"/>
      <c r="Z40" s="4627"/>
      <c r="AA40" s="4627"/>
      <c r="AB40" s="4627"/>
      <c r="AC40" s="4627"/>
      <c r="AD40" s="4627"/>
      <c r="AE40" s="4627"/>
      <c r="AF40" s="4627"/>
      <c r="AG40" s="4627"/>
      <c r="AH40" s="4627"/>
      <c r="AI40" s="4627"/>
      <c r="AJ40" s="4627"/>
      <c r="AK40" s="4627"/>
      <c r="AL40" s="4627"/>
      <c r="AM40" s="4627"/>
      <c r="AN40" s="4627"/>
      <c r="AO40" s="4627"/>
      <c r="AP40" s="4627"/>
      <c r="AQ40" s="4627"/>
      <c r="AR40" s="4627"/>
      <c r="AS40" s="4627"/>
      <c r="AT40" s="4627"/>
      <c r="AU40" s="4627"/>
      <c r="AV40" s="4627"/>
      <c r="AW40" s="4627"/>
      <c r="AX40" s="4627"/>
      <c r="AY40" s="4627"/>
      <c r="AZ40" s="4627"/>
      <c r="BA40" s="4627"/>
      <c r="BB40" s="4627"/>
      <c r="BC40" s="4627" t="s">
        <v>440</v>
      </c>
    </row>
    <row r="41" spans="1:60" ht="14.25" customHeight="1">
      <c r="Q41" s="210"/>
      <c r="R41" s="306"/>
      <c r="S41" s="4767" t="s">
        <v>86</v>
      </c>
      <c r="T41" s="4719" t="s">
        <v>643</v>
      </c>
      <c r="U41" s="220"/>
      <c r="V41" s="4768" t="s">
        <v>568</v>
      </c>
      <c r="W41" s="4769"/>
      <c r="X41" s="4769"/>
      <c r="Y41" s="4769"/>
      <c r="Z41" s="4769"/>
      <c r="AA41" s="4769"/>
      <c r="AB41" s="4770"/>
      <c r="AC41" s="4771" t="s">
        <v>569</v>
      </c>
      <c r="AD41" s="4797" t="s">
        <v>644</v>
      </c>
      <c r="AE41" s="4783"/>
      <c r="AF41" s="4783"/>
      <c r="AG41" s="4798"/>
      <c r="AH41" s="4797" t="s">
        <v>645</v>
      </c>
      <c r="AI41" s="4783"/>
      <c r="AJ41" s="4783"/>
      <c r="AK41" s="4798"/>
      <c r="AL41" s="4797" t="s">
        <v>646</v>
      </c>
      <c r="AM41" s="4783"/>
      <c r="AN41" s="4783"/>
      <c r="AO41" s="4798"/>
      <c r="AP41" s="4797" t="s">
        <v>647</v>
      </c>
      <c r="AQ41" s="4783"/>
      <c r="AR41" s="4783"/>
      <c r="AS41" s="4798"/>
      <c r="AT41" s="4768" t="s">
        <v>568</v>
      </c>
      <c r="AU41" s="4769"/>
      <c r="AV41" s="4769"/>
      <c r="AW41" s="4769"/>
      <c r="AX41" s="4769"/>
      <c r="AY41" s="4769"/>
      <c r="AZ41" s="4770"/>
      <c r="BA41" s="4771" t="s">
        <v>569</v>
      </c>
      <c r="BB41" s="4774" t="s">
        <v>571</v>
      </c>
      <c r="BC41" s="4627"/>
    </row>
    <row r="42" spans="1:60" ht="33.75" customHeight="1">
      <c r="Q42" s="210"/>
      <c r="R42" s="306"/>
      <c r="S42" s="4767"/>
      <c r="T42" s="4719"/>
      <c r="U42" s="939"/>
      <c r="V42" s="4704" t="s">
        <v>648</v>
      </c>
      <c r="W42" s="4705"/>
      <c r="X42" s="4704" t="s">
        <v>649</v>
      </c>
      <c r="Y42" s="4705"/>
      <c r="Z42" s="4704" t="s">
        <v>650</v>
      </c>
      <c r="AA42" s="4792"/>
      <c r="AB42" s="4705"/>
      <c r="AC42" s="4772"/>
      <c r="AD42" s="4799"/>
      <c r="AE42" s="4800"/>
      <c r="AF42" s="4800"/>
      <c r="AG42" s="4801"/>
      <c r="AH42" s="4799"/>
      <c r="AI42" s="4800"/>
      <c r="AJ42" s="4800"/>
      <c r="AK42" s="4801"/>
      <c r="AL42" s="4799"/>
      <c r="AM42" s="4800"/>
      <c r="AN42" s="4800"/>
      <c r="AO42" s="4801"/>
      <c r="AP42" s="4799"/>
      <c r="AQ42" s="4800"/>
      <c r="AR42" s="4800"/>
      <c r="AS42" s="4801"/>
      <c r="AT42" s="4704" t="s">
        <v>648</v>
      </c>
      <c r="AU42" s="4705"/>
      <c r="AV42" s="4704" t="s">
        <v>649</v>
      </c>
      <c r="AW42" s="4705"/>
      <c r="AX42" s="4704" t="s">
        <v>650</v>
      </c>
      <c r="AY42" s="4792"/>
      <c r="AZ42" s="4705"/>
      <c r="BA42" s="4772"/>
      <c r="BB42" s="4775"/>
      <c r="BC42" s="4627"/>
    </row>
    <row r="43" spans="1:60" ht="14.25" customHeight="1">
      <c r="Q43" s="210"/>
      <c r="R43" s="306"/>
      <c r="S43" s="4767"/>
      <c r="T43" s="4719"/>
      <c r="U43" s="939"/>
      <c r="V43" s="4709"/>
      <c r="W43" s="4710"/>
      <c r="X43" s="4709"/>
      <c r="Y43" s="4710"/>
      <c r="Z43" s="4709"/>
      <c r="AA43" s="4793"/>
      <c r="AB43" s="4710"/>
      <c r="AC43" s="4772"/>
      <c r="AD43" s="4799"/>
      <c r="AE43" s="4800"/>
      <c r="AF43" s="4800"/>
      <c r="AG43" s="4801"/>
      <c r="AH43" s="4799"/>
      <c r="AI43" s="4800"/>
      <c r="AJ43" s="4800"/>
      <c r="AK43" s="4801"/>
      <c r="AL43" s="4799"/>
      <c r="AM43" s="4800"/>
      <c r="AN43" s="4800"/>
      <c r="AO43" s="4801"/>
      <c r="AP43" s="4799"/>
      <c r="AQ43" s="4800"/>
      <c r="AR43" s="4800"/>
      <c r="AS43" s="4801"/>
      <c r="AT43" s="4709"/>
      <c r="AU43" s="4710"/>
      <c r="AV43" s="4709"/>
      <c r="AW43" s="4710"/>
      <c r="AX43" s="4709"/>
      <c r="AY43" s="4793"/>
      <c r="AZ43" s="4710"/>
      <c r="BA43" s="4772"/>
      <c r="BB43" s="4775"/>
      <c r="BC43" s="4627"/>
    </row>
    <row r="44" spans="1:60" ht="14.25" customHeight="1">
      <c r="A44" s="1287"/>
      <c r="B44" s="1287" t="s">
        <v>197</v>
      </c>
      <c r="C44" s="1287" t="s">
        <v>198</v>
      </c>
      <c r="D44" s="1287" t="s">
        <v>199</v>
      </c>
      <c r="E44" s="1281" t="s">
        <v>576</v>
      </c>
      <c r="F44" s="1281" t="s">
        <v>577</v>
      </c>
      <c r="G44" s="1281" t="s">
        <v>578</v>
      </c>
      <c r="H44" s="1281" t="s">
        <v>579</v>
      </c>
      <c r="I44" s="1281" t="s">
        <v>580</v>
      </c>
      <c r="J44" s="1281" t="s">
        <v>581</v>
      </c>
      <c r="K44" s="1281" t="s">
        <v>582</v>
      </c>
      <c r="L44" s="1281" t="s">
        <v>557</v>
      </c>
      <c r="Q44" s="210"/>
      <c r="R44" s="306"/>
      <c r="S44" s="4767"/>
      <c r="T44" s="4719"/>
      <c r="U44" s="221"/>
      <c r="V44" s="1390" t="s">
        <v>616</v>
      </c>
      <c r="W44" s="1390" t="s">
        <v>617</v>
      </c>
      <c r="X44" s="1390" t="s">
        <v>616</v>
      </c>
      <c r="Y44" s="1390" t="s">
        <v>617</v>
      </c>
      <c r="Z44" s="1400" t="s">
        <v>585</v>
      </c>
      <c r="AA44" s="4727" t="s">
        <v>586</v>
      </c>
      <c r="AB44" s="4729"/>
      <c r="AC44" s="4773"/>
      <c r="AD44" s="4802"/>
      <c r="AE44" s="4803"/>
      <c r="AF44" s="4803"/>
      <c r="AG44" s="4804"/>
      <c r="AH44" s="4802"/>
      <c r="AI44" s="4803"/>
      <c r="AJ44" s="4803"/>
      <c r="AK44" s="4804"/>
      <c r="AL44" s="4802"/>
      <c r="AM44" s="4803"/>
      <c r="AN44" s="4803"/>
      <c r="AO44" s="4804"/>
      <c r="AP44" s="4802"/>
      <c r="AQ44" s="4803"/>
      <c r="AR44" s="4803"/>
      <c r="AS44" s="4804"/>
      <c r="AT44" s="1390" t="s">
        <v>616</v>
      </c>
      <c r="AU44" s="1390" t="s">
        <v>617</v>
      </c>
      <c r="AV44" s="1390" t="s">
        <v>616</v>
      </c>
      <c r="AW44" s="1390" t="s">
        <v>617</v>
      </c>
      <c r="AX44" s="1400" t="s">
        <v>585</v>
      </c>
      <c r="AY44" s="4727" t="s">
        <v>586</v>
      </c>
      <c r="AZ44" s="4729"/>
      <c r="BA44" s="4773"/>
      <c r="BB44" s="4776"/>
      <c r="BC44" s="4627"/>
    </row>
    <row r="45" spans="1:60" s="1820" customFormat="1" ht="0"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174</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4766">
        <f t="shared" ca="1" si="2"/>
        <v>8</v>
      </c>
      <c r="AB45" s="4766"/>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4766">
        <f ca="1">OFFSET(AY45,0,-1)+1</f>
        <v>3</v>
      </c>
      <c r="AZ45" s="4766"/>
      <c r="BA45" s="1393">
        <f ca="1">OFFSET(BA45,0,-2)+1</f>
        <v>4</v>
      </c>
      <c r="BB45" s="1155">
        <f ca="1">OFFSET(BB45,0,-1)</f>
        <v>4</v>
      </c>
      <c r="BC45" s="1393">
        <f ca="1">OFFSET(BC45,0,-1)+1</f>
        <v>5</v>
      </c>
      <c r="BD45" s="438"/>
      <c r="BE45" s="438"/>
      <c r="BF45" s="438"/>
      <c r="BG45" s="438"/>
      <c r="BH45" s="438"/>
    </row>
    <row r="46" spans="1:60" ht="21" customHeight="1">
      <c r="A46" s="1280" t="s">
        <v>306</v>
      </c>
      <c r="B46" s="1280"/>
      <c r="C46" s="1280"/>
      <c r="D46" s="1280"/>
      <c r="E46" s="4759">
        <v>1</v>
      </c>
      <c r="F46" s="1280"/>
      <c r="G46" s="1280"/>
      <c r="H46" s="1280"/>
      <c r="I46" s="1280"/>
      <c r="J46" s="1280"/>
      <c r="K46" s="1280"/>
      <c r="L46" s="1281"/>
      <c r="M46" s="1282"/>
      <c r="N46" s="1282"/>
      <c r="O46" s="1282"/>
      <c r="P46" s="1326"/>
      <c r="Q46" s="787"/>
      <c r="R46" s="281"/>
      <c r="S46" s="1404">
        <f>INDEX(PT_DIFFERENTIATION_NUM_NTAR,MATCH(A46,PT_DIFFERENTIATION_NTAR_ID,0))</f>
        <v>0</v>
      </c>
      <c r="T46" s="217" t="s">
        <v>185</v>
      </c>
      <c r="U46" s="219"/>
      <c r="V46" s="4746"/>
      <c r="W46" s="4746"/>
      <c r="X46" s="4746"/>
      <c r="Y46" s="4746"/>
      <c r="Z46" s="4746"/>
      <c r="AA46" s="4746"/>
      <c r="AB46" s="4746"/>
      <c r="AC46" s="4747"/>
      <c r="AD46" s="4745" t="str">
        <f>INDEX(PT_DIFFERENTIATION_NTAR,MATCH(A46,PT_DIFFERENTIATION_NTAR_ID,0))</f>
        <v/>
      </c>
      <c r="AE46" s="4746"/>
      <c r="AF46" s="4746"/>
      <c r="AG46" s="4746"/>
      <c r="AH46" s="4746"/>
      <c r="AI46" s="4746"/>
      <c r="AJ46" s="4746"/>
      <c r="AK46" s="4746"/>
      <c r="AL46" s="4746"/>
      <c r="AM46" s="4746"/>
      <c r="AN46" s="4746"/>
      <c r="AO46" s="4746"/>
      <c r="AP46" s="4746"/>
      <c r="AQ46" s="4746"/>
      <c r="AR46" s="4746"/>
      <c r="AS46" s="4746"/>
      <c r="AT46" s="4746"/>
      <c r="AU46" s="4746"/>
      <c r="AV46" s="4746"/>
      <c r="AW46" s="4746"/>
      <c r="AX46" s="4746"/>
      <c r="AY46" s="4746"/>
      <c r="AZ46" s="4746"/>
      <c r="BA46" s="4746"/>
      <c r="BB46" s="474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306</v>
      </c>
      <c r="B47" s="1280" t="s">
        <v>307</v>
      </c>
      <c r="C47" s="1280"/>
      <c r="D47" s="1280"/>
      <c r="E47" s="4760"/>
      <c r="F47" s="4759">
        <v>1</v>
      </c>
      <c r="G47" s="1280"/>
      <c r="H47" s="1280"/>
      <c r="I47" s="1280"/>
      <c r="J47" s="1280"/>
      <c r="K47" s="1280"/>
      <c r="L47" s="1281"/>
      <c r="M47" s="1282"/>
      <c r="N47" s="1282"/>
      <c r="O47" s="1282"/>
      <c r="P47" s="1327"/>
      <c r="Q47" s="1328"/>
      <c r="R47" s="279"/>
      <c r="S47" s="1404" t="str">
        <f>INDEX(PT_DIFFERENTIATION_NUM_TER,MATCH(B47,PT_DIFFERENTIATION_TER_ID,0))</f>
        <v>.</v>
      </c>
      <c r="T47" s="229" t="s">
        <v>538</v>
      </c>
      <c r="U47" s="219"/>
      <c r="V47" s="4746"/>
      <c r="W47" s="4746"/>
      <c r="X47" s="4746"/>
      <c r="Y47" s="4746"/>
      <c r="Z47" s="4746"/>
      <c r="AA47" s="4746"/>
      <c r="AB47" s="4746"/>
      <c r="AC47" s="4747"/>
      <c r="AD47" s="4745" t="str">
        <f>INDEX(PT_DIFFERENTIATION_TER,MATCH(B47,PT_DIFFERENTIATION_TER_ID,0))</f>
        <v/>
      </c>
      <c r="AE47" s="4746"/>
      <c r="AF47" s="4746"/>
      <c r="AG47" s="4746"/>
      <c r="AH47" s="4746"/>
      <c r="AI47" s="4746"/>
      <c r="AJ47" s="4746"/>
      <c r="AK47" s="4746"/>
      <c r="AL47" s="4746"/>
      <c r="AM47" s="4746"/>
      <c r="AN47" s="4746"/>
      <c r="AO47" s="4746"/>
      <c r="AP47" s="4746"/>
      <c r="AQ47" s="4746"/>
      <c r="AR47" s="4746"/>
      <c r="AS47" s="4746"/>
      <c r="AT47" s="4746"/>
      <c r="AU47" s="4746"/>
      <c r="AV47" s="4746"/>
      <c r="AW47" s="4746"/>
      <c r="AX47" s="4746"/>
      <c r="AY47" s="4746"/>
      <c r="AZ47" s="4746"/>
      <c r="BA47" s="4746"/>
      <c r="BB47" s="4747"/>
      <c r="BC47" s="1178" t="s">
        <v>539</v>
      </c>
      <c r="BE47" s="427"/>
      <c r="BF47" s="427" t="str">
        <f t="shared" si="3"/>
        <v>Территория действия тарифа</v>
      </c>
      <c r="BG47" s="427"/>
      <c r="BH47" s="427"/>
    </row>
    <row r="48" spans="1:60" ht="33.75" customHeight="1">
      <c r="A48" s="1280" t="s">
        <v>306</v>
      </c>
      <c r="B48" s="1280" t="s">
        <v>307</v>
      </c>
      <c r="C48" s="1280" t="s">
        <v>308</v>
      </c>
      <c r="D48" s="1280"/>
      <c r="E48" s="4760"/>
      <c r="F48" s="4760"/>
      <c r="G48" s="4759">
        <v>1</v>
      </c>
      <c r="H48" s="1280"/>
      <c r="I48" s="1280"/>
      <c r="J48" s="1280"/>
      <c r="K48" s="1280"/>
      <c r="L48" s="1281"/>
      <c r="M48" s="1282"/>
      <c r="N48" s="1282"/>
      <c r="O48" s="1282"/>
      <c r="P48" s="1329"/>
      <c r="Q48" s="1328"/>
      <c r="R48" s="279"/>
      <c r="S48" s="1404" t="str">
        <f>INDEX(PT_DIFFERENTIATION_NUM_CS,MATCH(C48,PT_DIFFERENTIATION_CS_ID,0))</f>
        <v>..</v>
      </c>
      <c r="T48" s="230" t="s">
        <v>671</v>
      </c>
      <c r="U48" s="219"/>
      <c r="V48" s="4746"/>
      <c r="W48" s="4746"/>
      <c r="X48" s="4746"/>
      <c r="Y48" s="4746"/>
      <c r="Z48" s="4746"/>
      <c r="AA48" s="4746"/>
      <c r="AB48" s="4746"/>
      <c r="AC48" s="4747"/>
      <c r="AD48" s="4745" t="str">
        <f>INDEX(PT_DIFFERENTIATION_CS,MATCH(C48,PT_DIFFERENTIATION_CS_ID,0))</f>
        <v/>
      </c>
      <c r="AE48" s="4746"/>
      <c r="AF48" s="4746"/>
      <c r="AG48" s="4746"/>
      <c r="AH48" s="4746"/>
      <c r="AI48" s="4746"/>
      <c r="AJ48" s="4746"/>
      <c r="AK48" s="4746"/>
      <c r="AL48" s="4746"/>
      <c r="AM48" s="4746"/>
      <c r="AN48" s="4746"/>
      <c r="AO48" s="4746"/>
      <c r="AP48" s="4746"/>
      <c r="AQ48" s="4746"/>
      <c r="AR48" s="4746"/>
      <c r="AS48" s="4746"/>
      <c r="AT48" s="4746"/>
      <c r="AU48" s="4746"/>
      <c r="AV48" s="4746"/>
      <c r="AW48" s="4746"/>
      <c r="AX48" s="4746"/>
      <c r="AY48" s="4746"/>
      <c r="AZ48" s="4746"/>
      <c r="BA48" s="4746"/>
      <c r="BB48" s="4747"/>
      <c r="BC48" s="1178" t="s">
        <v>672</v>
      </c>
      <c r="BE48" s="427"/>
      <c r="BF48" s="427" t="str">
        <f t="shared" si="3"/>
        <v>Наименование централизованной системы горячего водоснабжения</v>
      </c>
      <c r="BG48" s="427"/>
      <c r="BH48" s="427"/>
    </row>
    <row r="49" spans="1:60" s="1821" customFormat="1" ht="0" hidden="1" customHeight="1">
      <c r="A49" s="1261" t="s">
        <v>306</v>
      </c>
      <c r="B49" s="1261" t="s">
        <v>307</v>
      </c>
      <c r="C49" s="1261" t="s">
        <v>308</v>
      </c>
      <c r="D49" s="1261" t="s">
        <v>679</v>
      </c>
      <c r="E49" s="4760"/>
      <c r="F49" s="4760"/>
      <c r="G49" s="4760"/>
      <c r="H49" s="4759">
        <v>1</v>
      </c>
      <c r="I49" s="1261"/>
      <c r="J49" s="1261"/>
      <c r="K49" s="1261"/>
      <c r="L49" s="1264"/>
      <c r="M49" s="1234"/>
      <c r="N49" s="1234"/>
      <c r="O49" s="1234"/>
      <c r="P49" s="1408"/>
      <c r="Q49" s="1409"/>
      <c r="R49" s="283"/>
      <c r="S49" s="950"/>
      <c r="T49" s="1410"/>
      <c r="U49" s="1301"/>
      <c r="V49" s="4787"/>
      <c r="W49" s="4787"/>
      <c r="X49" s="4787"/>
      <c r="Y49" s="4787"/>
      <c r="Z49" s="4787"/>
      <c r="AA49" s="4787"/>
      <c r="AB49" s="4787"/>
      <c r="AC49" s="4788"/>
      <c r="AD49" s="4786"/>
      <c r="AE49" s="4787"/>
      <c r="AF49" s="4787"/>
      <c r="AG49" s="4787"/>
      <c r="AH49" s="4787"/>
      <c r="AI49" s="4787"/>
      <c r="AJ49" s="4787"/>
      <c r="AK49" s="4787"/>
      <c r="AL49" s="4787"/>
      <c r="AM49" s="4787"/>
      <c r="AN49" s="4787"/>
      <c r="AO49" s="4787"/>
      <c r="AP49" s="4787"/>
      <c r="AQ49" s="4787"/>
      <c r="AR49" s="4787"/>
      <c r="AS49" s="4787"/>
      <c r="AT49" s="4787"/>
      <c r="AU49" s="4787"/>
      <c r="AV49" s="4787"/>
      <c r="AW49" s="4787"/>
      <c r="AX49" s="4787"/>
      <c r="AY49" s="4787"/>
      <c r="AZ49" s="4787"/>
      <c r="BA49" s="4787"/>
      <c r="BB49" s="4788"/>
      <c r="BC49" s="1302" t="s">
        <v>543</v>
      </c>
      <c r="BE49" s="427"/>
      <c r="BF49" s="427" t="str">
        <f t="shared" si="3"/>
        <v/>
      </c>
      <c r="BG49" s="427"/>
      <c r="BH49" s="427"/>
    </row>
    <row r="50" spans="1:60" s="1821" customFormat="1" ht="0" hidden="1" customHeight="1">
      <c r="A50" s="1261" t="s">
        <v>306</v>
      </c>
      <c r="B50" s="1261" t="s">
        <v>307</v>
      </c>
      <c r="C50" s="1261" t="s">
        <v>308</v>
      </c>
      <c r="D50" s="1261" t="s">
        <v>679</v>
      </c>
      <c r="E50" s="4760"/>
      <c r="F50" s="4760"/>
      <c r="G50" s="4760"/>
      <c r="H50" s="4760"/>
      <c r="I50" s="4757" t="str">
        <f>S49&amp;".1"</f>
        <v>.1</v>
      </c>
      <c r="J50" s="1261"/>
      <c r="K50" s="1261"/>
      <c r="L50" s="1264" t="s">
        <v>544</v>
      </c>
      <c r="M50" s="437"/>
      <c r="N50" s="437"/>
      <c r="O50" s="437"/>
      <c r="P50" s="4758">
        <v>1</v>
      </c>
      <c r="Q50" s="1392"/>
      <c r="R50" s="282"/>
      <c r="S50" s="950"/>
      <c r="T50" s="1300"/>
      <c r="U50" s="1301"/>
      <c r="V50" s="4787"/>
      <c r="W50" s="4787"/>
      <c r="X50" s="4787"/>
      <c r="Y50" s="4787"/>
      <c r="Z50" s="4787"/>
      <c r="AA50" s="4787"/>
      <c r="AB50" s="4787"/>
      <c r="AC50" s="4788"/>
      <c r="AD50" s="4786"/>
      <c r="AE50" s="4787"/>
      <c r="AF50" s="4787"/>
      <c r="AG50" s="4787"/>
      <c r="AH50" s="4787"/>
      <c r="AI50" s="4787"/>
      <c r="AJ50" s="4787"/>
      <c r="AK50" s="4787"/>
      <c r="AL50" s="4787"/>
      <c r="AM50" s="4787"/>
      <c r="AN50" s="4787"/>
      <c r="AO50" s="4787"/>
      <c r="AP50" s="4787"/>
      <c r="AQ50" s="4787"/>
      <c r="AR50" s="4787"/>
      <c r="AS50" s="4787"/>
      <c r="AT50" s="4787"/>
      <c r="AU50" s="4787"/>
      <c r="AV50" s="4787"/>
      <c r="AW50" s="4787"/>
      <c r="AX50" s="4787"/>
      <c r="AY50" s="4787"/>
      <c r="AZ50" s="4787"/>
      <c r="BA50" s="4787"/>
      <c r="BB50" s="4788"/>
      <c r="BC50" s="1302"/>
      <c r="BE50" s="427"/>
      <c r="BF50" s="427" t="str">
        <f t="shared" si="3"/>
        <v/>
      </c>
      <c r="BG50" s="427"/>
      <c r="BH50" s="427"/>
    </row>
    <row r="51" spans="1:60" s="1821" customFormat="1" ht="0" hidden="1" customHeight="1">
      <c r="A51" s="1261" t="s">
        <v>306</v>
      </c>
      <c r="B51" s="1261" t="s">
        <v>307</v>
      </c>
      <c r="C51" s="1261" t="s">
        <v>308</v>
      </c>
      <c r="D51" s="1261" t="s">
        <v>679</v>
      </c>
      <c r="E51" s="4760"/>
      <c r="F51" s="4760"/>
      <c r="G51" s="4760"/>
      <c r="H51" s="4760"/>
      <c r="I51" s="4780"/>
      <c r="J51" s="4757" t="str">
        <f>S49&amp;".1"</f>
        <v>.1</v>
      </c>
      <c r="K51" s="1261"/>
      <c r="L51" s="1264"/>
      <c r="M51" s="437"/>
      <c r="N51" s="437"/>
      <c r="O51" s="437"/>
      <c r="P51" s="4758"/>
      <c r="Q51" s="4758">
        <v>1</v>
      </c>
      <c r="R51" s="283"/>
      <c r="S51" s="950"/>
      <c r="T51" s="1316"/>
      <c r="U51" s="1301"/>
      <c r="V51" s="4787"/>
      <c r="W51" s="4787"/>
      <c r="X51" s="4787"/>
      <c r="Y51" s="4787"/>
      <c r="Z51" s="4787"/>
      <c r="AA51" s="4787"/>
      <c r="AB51" s="4787"/>
      <c r="AC51" s="4788"/>
      <c r="AD51" s="4786"/>
      <c r="AE51" s="4787"/>
      <c r="AF51" s="4787"/>
      <c r="AG51" s="4787"/>
      <c r="AH51" s="4787"/>
      <c r="AI51" s="4787"/>
      <c r="AJ51" s="4787"/>
      <c r="AK51" s="4787"/>
      <c r="AL51" s="4787"/>
      <c r="AM51" s="4787"/>
      <c r="AN51" s="4832"/>
      <c r="AO51" s="4832"/>
      <c r="AP51" s="4787"/>
      <c r="AQ51" s="4787"/>
      <c r="AR51" s="4787"/>
      <c r="AS51" s="4787"/>
      <c r="AT51" s="4787"/>
      <c r="AU51" s="4787"/>
      <c r="AV51" s="4787"/>
      <c r="AW51" s="4787"/>
      <c r="AX51" s="4787"/>
      <c r="AY51" s="4787"/>
      <c r="AZ51" s="4787"/>
      <c r="BA51" s="4787"/>
      <c r="BB51" s="4788"/>
      <c r="BC51" s="1302"/>
      <c r="BE51" s="427"/>
      <c r="BF51" s="427" t="str">
        <f t="shared" si="3"/>
        <v/>
      </c>
      <c r="BG51" s="427"/>
      <c r="BH51" s="427"/>
    </row>
    <row r="52" spans="1:60" ht="11.25" customHeight="1">
      <c r="A52" s="1280" t="s">
        <v>306</v>
      </c>
      <c r="B52" s="1280" t="s">
        <v>307</v>
      </c>
      <c r="C52" s="1280" t="s">
        <v>308</v>
      </c>
      <c r="D52" s="1280" t="s">
        <v>679</v>
      </c>
      <c r="E52" s="4760"/>
      <c r="F52" s="4760"/>
      <c r="G52" s="4760"/>
      <c r="H52" s="4760"/>
      <c r="I52" s="4780"/>
      <c r="J52" s="4780"/>
      <c r="K52" s="4757" t="str">
        <f>S48&amp;".1"</f>
        <v>...1</v>
      </c>
      <c r="L52" s="1281"/>
      <c r="P52" s="4758"/>
      <c r="Q52" s="4758"/>
      <c r="R52" s="283">
        <v>1</v>
      </c>
      <c r="S52" s="4809" t="str">
        <f>$K52</f>
        <v>...1</v>
      </c>
      <c r="T52" s="4827"/>
      <c r="U52" s="219"/>
      <c r="V52" s="669"/>
      <c r="W52" s="1177"/>
      <c r="X52" s="669"/>
      <c r="Y52" s="1177"/>
      <c r="Z52" s="1645"/>
      <c r="AA52" s="1381" t="s">
        <v>65</v>
      </c>
      <c r="AB52" s="1645"/>
      <c r="AC52" s="1381" t="s">
        <v>65</v>
      </c>
      <c r="AD52" s="4684" t="s">
        <v>65</v>
      </c>
      <c r="AE52" s="4795"/>
      <c r="AF52" s="4714">
        <v>1</v>
      </c>
      <c r="AG52" s="4831"/>
      <c r="AH52" s="4608" t="s">
        <v>65</v>
      </c>
      <c r="AI52" s="4795"/>
      <c r="AJ52" s="4714">
        <v>1</v>
      </c>
      <c r="AK52" s="4830" t="s">
        <v>24</v>
      </c>
      <c r="AL52" s="4608" t="s">
        <v>65</v>
      </c>
      <c r="AM52" s="4704"/>
      <c r="AN52" s="4714">
        <v>1</v>
      </c>
      <c r="AO52" s="4824"/>
      <c r="AP52" s="4825" t="s">
        <v>65</v>
      </c>
      <c r="AQ52" s="232"/>
      <c r="AR52" s="1397">
        <v>1</v>
      </c>
      <c r="AS52" s="1403" t="s">
        <v>24</v>
      </c>
      <c r="AT52" s="669"/>
      <c r="AU52" s="1177"/>
      <c r="AV52" s="669"/>
      <c r="AW52" s="1177"/>
      <c r="AX52" s="1645"/>
      <c r="AY52" s="1381" t="s">
        <v>65</v>
      </c>
      <c r="AZ52" s="1645"/>
      <c r="BA52" s="1381" t="s">
        <v>65</v>
      </c>
      <c r="BB52" s="1266"/>
      <c r="BC52" s="4754" t="s">
        <v>637</v>
      </c>
      <c r="BE52" s="427"/>
      <c r="BF52" s="427" t="str">
        <f t="shared" si="3"/>
        <v/>
      </c>
      <c r="BG52" s="427"/>
      <c r="BH52" s="427"/>
    </row>
    <row r="53" spans="1:60" ht="11.25" customHeight="1">
      <c r="A53" s="1280"/>
      <c r="B53" s="1280"/>
      <c r="C53" s="1280"/>
      <c r="D53" s="1280"/>
      <c r="E53" s="4760"/>
      <c r="F53" s="4760"/>
      <c r="G53" s="4760"/>
      <c r="H53" s="4760"/>
      <c r="I53" s="4780"/>
      <c r="J53" s="4780"/>
      <c r="K53" s="4757"/>
      <c r="L53" s="1281"/>
      <c r="P53" s="4758"/>
      <c r="Q53" s="4758"/>
      <c r="R53" s="283"/>
      <c r="S53" s="4810"/>
      <c r="T53" s="4828"/>
      <c r="U53" s="219"/>
      <c r="V53" s="1310"/>
      <c r="W53" s="1407"/>
      <c r="X53" s="1310"/>
      <c r="Y53" s="1407"/>
      <c r="Z53" s="1310"/>
      <c r="AA53" s="1310"/>
      <c r="AB53" s="1310"/>
      <c r="AC53" s="1310"/>
      <c r="AD53" s="4685"/>
      <c r="AE53" s="4795"/>
      <c r="AF53" s="4714"/>
      <c r="AG53" s="4831"/>
      <c r="AH53" s="4608"/>
      <c r="AI53" s="4795"/>
      <c r="AJ53" s="4714"/>
      <c r="AK53" s="4830"/>
      <c r="AL53" s="4608"/>
      <c r="AM53" s="4709"/>
      <c r="AN53" s="4714"/>
      <c r="AO53" s="4824"/>
      <c r="AP53" s="4826"/>
      <c r="AQ53" s="239"/>
      <c r="AR53" s="351"/>
      <c r="AS53" s="351" t="s">
        <v>638</v>
      </c>
      <c r="AT53" s="1310"/>
      <c r="AU53" s="1407"/>
      <c r="AV53" s="1310"/>
      <c r="AW53" s="1407"/>
      <c r="AX53" s="1310"/>
      <c r="AY53" s="1310"/>
      <c r="AZ53" s="1310"/>
      <c r="BA53" s="1310"/>
      <c r="BB53" s="1314"/>
      <c r="BC53" s="4755"/>
      <c r="BE53" s="427"/>
      <c r="BF53" s="427"/>
      <c r="BG53" s="427"/>
      <c r="BH53" s="427"/>
    </row>
    <row r="54" spans="1:60" ht="11.25" customHeight="1">
      <c r="A54" s="1280" t="s">
        <v>306</v>
      </c>
      <c r="B54" s="1280"/>
      <c r="C54" s="1280"/>
      <c r="D54" s="1280"/>
      <c r="E54" s="4760"/>
      <c r="F54" s="4760"/>
      <c r="G54" s="4760"/>
      <c r="H54" s="4760"/>
      <c r="I54" s="4780"/>
      <c r="J54" s="4780"/>
      <c r="K54" s="4757"/>
      <c r="L54" s="1281"/>
      <c r="P54" s="4758"/>
      <c r="Q54" s="4758"/>
      <c r="R54" s="283"/>
      <c r="S54" s="4810"/>
      <c r="T54" s="4828"/>
      <c r="U54" s="219"/>
      <c r="V54" s="1310"/>
      <c r="W54" s="1407"/>
      <c r="X54" s="1310"/>
      <c r="Y54" s="1407"/>
      <c r="Z54" s="1310"/>
      <c r="AA54" s="1310"/>
      <c r="AB54" s="1310"/>
      <c r="AC54" s="1310"/>
      <c r="AD54" s="4685"/>
      <c r="AE54" s="4795"/>
      <c r="AF54" s="4714"/>
      <c r="AG54" s="4831"/>
      <c r="AH54" s="4608"/>
      <c r="AI54" s="4795"/>
      <c r="AJ54" s="4714"/>
      <c r="AK54" s="4830"/>
      <c r="AL54" s="4608"/>
      <c r="AM54" s="239"/>
      <c r="AN54" s="1411"/>
      <c r="AO54" s="1411" t="s">
        <v>639</v>
      </c>
      <c r="AP54" s="351"/>
      <c r="AQ54" s="351"/>
      <c r="AR54" s="351"/>
      <c r="AS54" s="1310"/>
      <c r="AT54" s="1310"/>
      <c r="AU54" s="1407"/>
      <c r="AV54" s="1310"/>
      <c r="AW54" s="1407"/>
      <c r="AX54" s="1310"/>
      <c r="AY54" s="1310"/>
      <c r="AZ54" s="1310"/>
      <c r="BA54" s="1310"/>
      <c r="BB54" s="1314"/>
      <c r="BC54" s="4755"/>
      <c r="BE54" s="427"/>
      <c r="BF54" s="427"/>
      <c r="BG54" s="427"/>
      <c r="BH54" s="427"/>
    </row>
    <row r="55" spans="1:60" ht="11.25" customHeight="1">
      <c r="A55" s="1280" t="s">
        <v>306</v>
      </c>
      <c r="B55" s="1280"/>
      <c r="C55" s="1280"/>
      <c r="D55" s="1280"/>
      <c r="E55" s="4760"/>
      <c r="F55" s="4760"/>
      <c r="G55" s="4760"/>
      <c r="H55" s="4760"/>
      <c r="I55" s="4780"/>
      <c r="J55" s="4780"/>
      <c r="K55" s="4757"/>
      <c r="L55" s="1281"/>
      <c r="P55" s="4758"/>
      <c r="Q55" s="4758"/>
      <c r="R55" s="283"/>
      <c r="S55" s="4810"/>
      <c r="T55" s="4828"/>
      <c r="U55" s="219"/>
      <c r="V55" s="1310"/>
      <c r="W55" s="1407"/>
      <c r="X55" s="1310"/>
      <c r="Y55" s="1407"/>
      <c r="Z55" s="1310"/>
      <c r="AA55" s="1310"/>
      <c r="AB55" s="1310"/>
      <c r="AC55" s="1310"/>
      <c r="AD55" s="4685"/>
      <c r="AE55" s="4795"/>
      <c r="AF55" s="4714"/>
      <c r="AG55" s="4831"/>
      <c r="AH55" s="4608"/>
      <c r="AI55" s="213"/>
      <c r="AJ55" s="350"/>
      <c r="AK55" s="234" t="s">
        <v>640</v>
      </c>
      <c r="AL55" s="1310"/>
      <c r="AM55" s="1310"/>
      <c r="AN55" s="1310"/>
      <c r="AO55" s="1310"/>
      <c r="AP55" s="1310"/>
      <c r="AQ55" s="1310"/>
      <c r="AR55" s="1310"/>
      <c r="AS55" s="1310"/>
      <c r="AT55" s="1310"/>
      <c r="AU55" s="1407"/>
      <c r="AV55" s="1310"/>
      <c r="AW55" s="1407"/>
      <c r="AX55" s="1310"/>
      <c r="AY55" s="1310"/>
      <c r="AZ55" s="1310"/>
      <c r="BA55" s="1310"/>
      <c r="BB55" s="1314"/>
      <c r="BC55" s="4755"/>
      <c r="BE55" s="427"/>
      <c r="BF55" s="427"/>
      <c r="BG55" s="427"/>
      <c r="BH55" s="427"/>
    </row>
    <row r="56" spans="1:60" ht="11.25" customHeight="1">
      <c r="A56" s="1280" t="s">
        <v>306</v>
      </c>
      <c r="B56" s="1280" t="s">
        <v>307</v>
      </c>
      <c r="C56" s="1280" t="s">
        <v>308</v>
      </c>
      <c r="D56" s="1280" t="s">
        <v>679</v>
      </c>
      <c r="E56" s="4760"/>
      <c r="F56" s="4760"/>
      <c r="G56" s="4760"/>
      <c r="H56" s="4760"/>
      <c r="I56" s="4780"/>
      <c r="J56" s="4780"/>
      <c r="K56" s="4757"/>
      <c r="L56" s="1281"/>
      <c r="P56" s="4758"/>
      <c r="Q56" s="4758"/>
      <c r="R56" s="283"/>
      <c r="S56" s="4811"/>
      <c r="T56" s="4829"/>
      <c r="U56" s="219"/>
      <c r="V56" s="1310"/>
      <c r="W56" s="1311" t="str">
        <f>Z52&amp;"-"&amp;AB52</f>
        <v>-</v>
      </c>
      <c r="X56" s="1310"/>
      <c r="Y56" s="1311" t="str">
        <f>AB52&amp;"-"&amp;AD52</f>
        <v>-да</v>
      </c>
      <c r="Z56" s="1310"/>
      <c r="AA56" s="1310"/>
      <c r="AB56" s="1310"/>
      <c r="AC56" s="1310"/>
      <c r="AD56" s="4613"/>
      <c r="AE56" s="233"/>
      <c r="AF56" s="235"/>
      <c r="AG56" s="351" t="s">
        <v>641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4755"/>
      <c r="BE56" s="427"/>
      <c r="BF56" s="427" t="str">
        <f t="shared" ref="BF56:BF63" si="4">IF(T56="","",T56)</f>
        <v/>
      </c>
      <c r="BG56" s="427"/>
      <c r="BH56" s="427"/>
    </row>
    <row r="57" spans="1:60" ht="11.25" customHeight="1">
      <c r="A57" s="1280" t="s">
        <v>306</v>
      </c>
      <c r="B57" s="1280" t="s">
        <v>307</v>
      </c>
      <c r="C57" s="1280" t="s">
        <v>308</v>
      </c>
      <c r="D57" s="1280" t="s">
        <v>679</v>
      </c>
      <c r="E57" s="4760"/>
      <c r="F57" s="4760"/>
      <c r="G57" s="4760"/>
      <c r="H57" s="4760"/>
      <c r="I57" s="4780"/>
      <c r="J57" s="4757"/>
      <c r="K57" s="1280"/>
      <c r="L57" s="1281"/>
      <c r="P57" s="4758"/>
      <c r="Q57" s="4758"/>
      <c r="R57" s="282"/>
      <c r="S57" s="1199"/>
      <c r="T57" s="206" t="s">
        <v>605</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4756"/>
      <c r="BE57" s="427"/>
      <c r="BF57" s="427" t="str">
        <f t="shared" si="4"/>
        <v>Добавить строку</v>
      </c>
      <c r="BG57" s="427"/>
      <c r="BH57" s="427"/>
    </row>
    <row r="58" spans="1:60" s="1821" customFormat="1" ht="0" hidden="1" customHeight="1">
      <c r="A58" s="1261" t="s">
        <v>306</v>
      </c>
      <c r="B58" s="1261" t="s">
        <v>307</v>
      </c>
      <c r="C58" s="1261" t="s">
        <v>308</v>
      </c>
      <c r="D58" s="1261" t="s">
        <v>679</v>
      </c>
      <c r="E58" s="4760"/>
      <c r="F58" s="4760"/>
      <c r="G58" s="4760"/>
      <c r="H58" s="4760"/>
      <c r="I58" s="4757"/>
      <c r="J58" s="1261"/>
      <c r="K58" s="1261"/>
      <c r="L58" s="1264"/>
      <c r="M58" s="437"/>
      <c r="N58" s="437"/>
      <c r="O58" s="437"/>
      <c r="P58" s="4758"/>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21" customFormat="1" ht="0" hidden="1" customHeight="1">
      <c r="A59" s="1261" t="s">
        <v>306</v>
      </c>
      <c r="B59" s="1261" t="s">
        <v>307</v>
      </c>
      <c r="C59" s="1261" t="s">
        <v>308</v>
      </c>
      <c r="D59" s="1261" t="s">
        <v>679</v>
      </c>
      <c r="E59" s="4760"/>
      <c r="F59" s="4760"/>
      <c r="G59" s="4760"/>
      <c r="H59" s="4759"/>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46" customFormat="1" ht="0" hidden="1" customHeight="1">
      <c r="A60" s="1261" t="s">
        <v>306</v>
      </c>
      <c r="B60" s="1261" t="s">
        <v>307</v>
      </c>
      <c r="C60" s="1261" t="s">
        <v>308</v>
      </c>
      <c r="D60" s="1233"/>
      <c r="E60" s="4760"/>
      <c r="F60" s="4760"/>
      <c r="G60" s="4759"/>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46" customFormat="1" ht="0" hidden="1" customHeight="1">
      <c r="A61" s="1261" t="s">
        <v>306</v>
      </c>
      <c r="B61" s="1261" t="s">
        <v>307</v>
      </c>
      <c r="C61" s="1233"/>
      <c r="D61" s="1233"/>
      <c r="E61" s="4760"/>
      <c r="F61" s="4759"/>
      <c r="G61" s="1233"/>
      <c r="H61" s="1233"/>
      <c r="I61" s="1233"/>
      <c r="J61" s="1233"/>
      <c r="K61" s="1233"/>
      <c r="L61" s="1405"/>
      <c r="M61" s="1240"/>
      <c r="N61" s="1240"/>
      <c r="P61" s="1235"/>
      <c r="Q61" s="1236"/>
      <c r="R61" s="1235"/>
      <c r="S61" s="1241"/>
      <c r="T61" s="1244" t="s">
        <v>316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21" customFormat="1" ht="0" hidden="1" customHeight="1">
      <c r="A62" s="1261" t="s">
        <v>306</v>
      </c>
      <c r="B62" s="1261"/>
      <c r="C62" s="1261"/>
      <c r="D62" s="1261"/>
      <c r="E62" s="4759"/>
      <c r="F62" s="1261"/>
      <c r="G62" s="1261"/>
      <c r="H62" s="1261"/>
      <c r="I62" s="1261"/>
      <c r="J62" s="1261"/>
      <c r="K62" s="1261"/>
      <c r="L62" s="1264"/>
      <c r="M62" s="1240"/>
      <c r="N62" s="1240"/>
      <c r="O62" s="445"/>
      <c r="P62" s="314"/>
      <c r="Q62" s="1262"/>
      <c r="R62" s="314"/>
      <c r="S62" s="1241"/>
      <c r="T62" s="1244" t="s">
        <v>317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46"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407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4779"/>
      <c r="U65" s="4779"/>
      <c r="V65" s="4779"/>
      <c r="W65" s="4779"/>
      <c r="X65" s="4779"/>
      <c r="Y65" s="4779"/>
      <c r="Z65" s="4779"/>
      <c r="AA65" s="4779"/>
      <c r="AB65" s="4779"/>
      <c r="AC65" s="4779"/>
      <c r="AD65" s="4779"/>
      <c r="AE65" s="4779"/>
      <c r="AF65" s="4779"/>
      <c r="AG65" s="4779"/>
      <c r="AH65" s="4779"/>
      <c r="AI65" s="4779"/>
      <c r="AJ65" s="4779"/>
      <c r="AK65" s="4779"/>
      <c r="AL65" s="4779"/>
      <c r="AM65" s="4779"/>
      <c r="AN65" s="4779"/>
      <c r="AO65" s="4779"/>
      <c r="AP65" s="4779"/>
      <c r="AQ65" s="4779"/>
      <c r="AR65" s="4779"/>
      <c r="AS65" s="4779"/>
      <c r="AT65" s="4779"/>
      <c r="AU65" s="4779"/>
      <c r="AV65" s="4779"/>
      <c r="AW65" s="4779"/>
      <c r="AX65" s="4779"/>
      <c r="AY65" s="4779"/>
      <c r="AZ65" s="4779"/>
      <c r="BA65" s="4779"/>
      <c r="BB65" s="4779"/>
      <c r="BC65" s="4779"/>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8.75" customHeight="1">
      <c r="O67" s="463"/>
      <c r="S67" s="1165"/>
      <c r="T67" s="4779"/>
      <c r="U67" s="4779"/>
      <c r="V67" s="4779"/>
      <c r="W67" s="4779"/>
      <c r="X67" s="4779"/>
      <c r="Y67" s="4779"/>
      <c r="Z67" s="4779"/>
      <c r="AA67" s="4779"/>
      <c r="AB67" s="4779"/>
      <c r="AC67" s="4779"/>
      <c r="AD67" s="4779"/>
      <c r="AE67" s="4779"/>
      <c r="AF67" s="4779"/>
      <c r="AG67" s="4779"/>
      <c r="AH67" s="4779"/>
      <c r="AI67" s="4779"/>
      <c r="AJ67" s="4779"/>
      <c r="AK67" s="4779"/>
      <c r="AL67" s="4779"/>
      <c r="AM67" s="4779"/>
      <c r="AN67" s="4779"/>
      <c r="AO67" s="4779"/>
      <c r="AP67" s="4779"/>
      <c r="AQ67" s="4779"/>
      <c r="AR67" s="4779"/>
      <c r="AS67" s="4779"/>
      <c r="AT67" s="4779"/>
      <c r="AU67" s="4779"/>
      <c r="AV67" s="4779"/>
      <c r="AW67" s="4779"/>
      <c r="AX67" s="4779"/>
      <c r="AY67" s="4779"/>
      <c r="AZ67" s="4779"/>
      <c r="BA67" s="4779"/>
      <c r="BB67" s="4779"/>
      <c r="BC67" s="4779"/>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B62"/>
  <sheetViews>
    <sheetView showGridLines="0" topLeftCell="C23" zoomScale="90" workbookViewId="0">
      <selection activeCell="G46" sqref="G46"/>
    </sheetView>
  </sheetViews>
  <sheetFormatPr defaultColWidth="9.140625" defaultRowHeight="14.25" customHeight="1"/>
  <cols>
    <col min="1" max="1" width="8" style="1824" hidden="1" customWidth="1"/>
    <col min="2" max="2" width="6" style="1825" hidden="1" customWidth="1"/>
    <col min="3" max="3" width="3.7109375" style="1824" customWidth="1"/>
    <col min="4" max="4" width="3.7109375" style="1837" customWidth="1"/>
    <col min="5" max="5" width="6.28515625" style="1838" customWidth="1"/>
    <col min="6" max="6" width="2.7109375" style="1824" hidden="1" customWidth="1"/>
    <col min="7" max="7" width="46.7109375" style="1838" customWidth="1"/>
    <col min="8" max="8" width="43.140625" style="1838" customWidth="1"/>
    <col min="9" max="9" width="14.85546875" style="1838" customWidth="1"/>
    <col min="10" max="10" width="3.7109375" style="1827" customWidth="1"/>
    <col min="11" max="13" width="9.140625" style="1827" hidden="1"/>
    <col min="14" max="14" width="25.7109375" style="1828" hidden="1" customWidth="1"/>
    <col min="15" max="15" width="14.42578125" style="1827" hidden="1" customWidth="1"/>
    <col min="16" max="19" width="9.140625" style="1829" hidden="1"/>
    <col min="20" max="27" width="9.140625" style="1838" hidden="1"/>
    <col min="28" max="28" width="9.140625" style="1838"/>
  </cols>
  <sheetData>
    <row r="1" spans="1:28" s="1819" customFormat="1" ht="5.25" hidden="1" customHeight="1">
      <c r="A1" s="423"/>
      <c r="B1" s="438"/>
      <c r="C1" s="438"/>
      <c r="D1" s="142"/>
      <c r="F1" s="438"/>
      <c r="G1" s="166" t="s">
        <v>81</v>
      </c>
      <c r="H1" s="421" t="s">
        <v>82</v>
      </c>
      <c r="I1" s="148" t="s">
        <v>83</v>
      </c>
      <c r="J1" s="166" t="s">
        <v>81</v>
      </c>
      <c r="K1" s="166"/>
      <c r="L1" s="166"/>
      <c r="M1" s="166"/>
      <c r="N1" s="167"/>
      <c r="O1" s="166"/>
      <c r="P1" s="166"/>
      <c r="Q1" s="166"/>
      <c r="R1" s="166"/>
      <c r="S1" s="166"/>
      <c r="T1" s="148"/>
      <c r="U1" s="148"/>
      <c r="V1" s="148"/>
      <c r="W1" s="148"/>
      <c r="X1" s="148"/>
      <c r="Y1" s="148"/>
      <c r="Z1" s="148"/>
      <c r="AA1" s="148"/>
      <c r="AB1" s="148"/>
    </row>
    <row r="2" spans="1:28" s="1822" customFormat="1" ht="11.25" customHeight="1">
      <c r="A2" s="74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3" customFormat="1" ht="3" customHeight="1">
      <c r="A3" s="676"/>
      <c r="B3" s="352"/>
      <c r="C3" s="676"/>
      <c r="D3" s="85"/>
      <c r="E3" s="35"/>
      <c r="F3" s="436"/>
      <c r="G3" s="35"/>
      <c r="H3" s="35"/>
      <c r="I3" s="87"/>
      <c r="J3" s="166"/>
      <c r="K3" s="77"/>
      <c r="L3" s="77"/>
      <c r="M3" s="77"/>
      <c r="N3" s="147"/>
      <c r="O3" s="77"/>
      <c r="P3" s="146"/>
      <c r="Q3" s="146"/>
      <c r="R3" s="146"/>
      <c r="S3" s="146"/>
    </row>
    <row r="4" spans="1:28" s="1823" customFormat="1" ht="25.5" customHeight="1">
      <c r="A4" s="676"/>
      <c r="B4" s="352"/>
      <c r="C4" s="676"/>
      <c r="D4" s="85"/>
      <c r="E4" s="4603" t="str">
        <f>NameTemplatesInListMO</f>
        <v>Перечень муниципальных районов и муниципальных образований (территорий действия тарифа)</v>
      </c>
      <c r="F4" s="4603"/>
      <c r="G4" s="4603"/>
      <c r="H4" s="4603"/>
      <c r="I4" s="4603"/>
      <c r="J4" s="166"/>
      <c r="K4" s="77"/>
      <c r="L4" s="77"/>
      <c r="M4" s="77"/>
      <c r="N4" s="147"/>
      <c r="O4" s="77"/>
      <c r="P4" s="146"/>
      <c r="Q4" s="146"/>
      <c r="R4" s="146"/>
      <c r="S4" s="146"/>
    </row>
    <row r="5" spans="1:28" s="1823" customFormat="1" ht="3" customHeight="1">
      <c r="A5" s="676"/>
      <c r="B5" s="352"/>
      <c r="C5" s="676"/>
      <c r="D5" s="85"/>
      <c r="E5" s="35"/>
      <c r="F5" s="436"/>
      <c r="G5" s="88"/>
      <c r="H5" s="88"/>
      <c r="I5" s="89"/>
      <c r="J5" s="77"/>
      <c r="K5" s="77"/>
      <c r="L5" s="77"/>
      <c r="M5" s="77"/>
      <c r="N5" s="147"/>
      <c r="O5" s="77"/>
      <c r="P5" s="146"/>
      <c r="Q5" s="146"/>
      <c r="R5" s="146"/>
      <c r="S5" s="146"/>
    </row>
    <row r="6" spans="1:28" s="1823" customFormat="1" ht="20.25" hidden="1" customHeight="1">
      <c r="A6" s="755"/>
      <c r="B6" s="751"/>
      <c r="C6" s="90"/>
      <c r="D6" s="85"/>
      <c r="E6" s="697"/>
      <c r="F6" s="697"/>
      <c r="G6" s="88"/>
      <c r="H6" s="91"/>
      <c r="I6" s="91"/>
      <c r="J6" s="77"/>
      <c r="K6" s="77"/>
      <c r="L6" s="77"/>
      <c r="M6" s="77"/>
      <c r="N6" s="147"/>
      <c r="O6" s="77"/>
      <c r="P6" s="146"/>
      <c r="Q6" s="146"/>
      <c r="R6" s="146"/>
      <c r="S6" s="146"/>
    </row>
    <row r="7" spans="1:28" ht="25.5" hidden="1" customHeight="1"/>
    <row r="8" spans="1:28" s="1823" customFormat="1" ht="14.25" customHeight="1">
      <c r="A8" s="676"/>
      <c r="B8" s="352"/>
      <c r="C8" s="676"/>
      <c r="D8" s="85"/>
      <c r="E8" s="4598" t="s">
        <v>84</v>
      </c>
      <c r="F8" s="4604"/>
      <c r="G8" s="4597"/>
      <c r="H8" s="4605" t="s">
        <v>85</v>
      </c>
      <c r="I8" s="4605"/>
      <c r="J8" s="77"/>
      <c r="K8" s="77"/>
      <c r="L8" s="77"/>
      <c r="M8" s="77"/>
      <c r="N8" s="147"/>
      <c r="O8" s="77"/>
      <c r="P8" s="146"/>
      <c r="Q8" s="146"/>
      <c r="R8" s="146"/>
      <c r="S8" s="146"/>
    </row>
    <row r="9" spans="1:28" s="1823" customFormat="1" ht="20.25" customHeight="1">
      <c r="A9" s="676"/>
      <c r="B9" s="352"/>
      <c r="C9" s="676"/>
      <c r="D9" s="85"/>
      <c r="E9" s="695" t="s">
        <v>86</v>
      </c>
      <c r="F9" s="695"/>
      <c r="G9" s="93" t="s">
        <v>87</v>
      </c>
      <c r="H9" s="93" t="s">
        <v>87</v>
      </c>
      <c r="I9" s="93" t="s">
        <v>83</v>
      </c>
      <c r="J9" s="77"/>
      <c r="K9" s="77"/>
      <c r="L9" s="77"/>
      <c r="M9" s="77"/>
      <c r="N9" s="147"/>
      <c r="O9" s="77"/>
      <c r="P9" s="146"/>
      <c r="Q9" s="146"/>
      <c r="R9" s="146"/>
      <c r="S9" s="146"/>
    </row>
    <row r="10" spans="1:28" ht="11.25" customHeight="1">
      <c r="D10" s="97"/>
      <c r="E10" s="696" t="s">
        <v>88</v>
      </c>
      <c r="F10" s="696"/>
      <c r="G10" s="144" t="s">
        <v>89</v>
      </c>
      <c r="H10" s="144" t="s">
        <v>90</v>
      </c>
      <c r="I10" s="144" t="s">
        <v>91</v>
      </c>
      <c r="J10" s="107"/>
      <c r="K10" s="107"/>
      <c r="L10" s="107"/>
      <c r="M10" s="107"/>
      <c r="N10" s="92"/>
      <c r="O10" s="107"/>
      <c r="P10" s="145"/>
      <c r="Q10" s="145"/>
      <c r="R10" s="145"/>
      <c r="S10" s="145"/>
    </row>
    <row r="11" spans="1:28" s="1823" customFormat="1" ht="0.75" customHeight="1">
      <c r="A11" s="676"/>
      <c r="B11" s="352"/>
      <c r="C11" s="676"/>
      <c r="D11" s="85"/>
      <c r="E11" s="708"/>
      <c r="F11" s="708"/>
      <c r="G11" s="94"/>
      <c r="H11" s="94"/>
      <c r="I11" s="96"/>
      <c r="J11" s="168" t="s">
        <v>92</v>
      </c>
      <c r="K11" s="77"/>
      <c r="L11" s="77"/>
      <c r="M11" s="77" t="s">
        <v>93</v>
      </c>
      <c r="N11" s="147" t="s">
        <v>94</v>
      </c>
      <c r="O11" s="77" t="s">
        <v>95</v>
      </c>
      <c r="P11" s="146"/>
      <c r="Q11" s="146"/>
      <c r="R11" s="146"/>
      <c r="S11" s="146"/>
    </row>
    <row r="12" spans="1:28" s="1830" customFormat="1" ht="14.25" customHeight="1">
      <c r="A12" s="4601">
        <v>1</v>
      </c>
      <c r="B12" s="352"/>
      <c r="C12" s="676"/>
      <c r="D12" s="700"/>
      <c r="E12" s="140">
        <f>A12</f>
        <v>1</v>
      </c>
      <c r="F12" s="720" t="s">
        <v>96</v>
      </c>
      <c r="G12" s="466" t="str">
        <f>"Территория "&amp;E12</f>
        <v>Территория 1</v>
      </c>
      <c r="H12" s="710"/>
      <c r="I12" s="710"/>
      <c r="J12" s="707"/>
      <c r="K12" s="427"/>
      <c r="L12" s="427"/>
      <c r="M12" s="427"/>
      <c r="N12" s="147"/>
      <c r="O12" s="427"/>
      <c r="P12" s="146"/>
      <c r="Q12" s="146"/>
      <c r="R12" s="146"/>
      <c r="S12" s="146"/>
    </row>
    <row r="13" spans="1:28" s="1832" customFormat="1" ht="15" customHeight="1">
      <c r="A13" s="4601"/>
      <c r="B13" s="352">
        <v>1</v>
      </c>
      <c r="C13" s="352"/>
      <c r="D13" s="718"/>
      <c r="E13" s="698" t="str">
        <f>A12&amp;"."&amp;B13</f>
        <v>1.1</v>
      </c>
      <c r="F13" s="713" t="s">
        <v>97</v>
      </c>
      <c r="G13" s="711" t="s">
        <v>98</v>
      </c>
      <c r="H13" s="711" t="s">
        <v>99</v>
      </c>
      <c r="I13" s="709" t="s">
        <v>100</v>
      </c>
      <c r="J13" s="427" t="e">
        <f ca="1">MERGEVALUE(G13)</f>
        <v>#NAME?</v>
      </c>
      <c r="K13" s="438"/>
      <c r="L13" s="438"/>
      <c r="M13" s="427" t="str">
        <f t="array" ref="M13">IF(ISERROR(MATCH(MID(N13,1,250),MID(note_ter,1,250),0)),"n","y")</f>
        <v>n</v>
      </c>
      <c r="N13" s="438"/>
      <c r="O13" s="427" t="str">
        <f>H13&amp;"("&amp;I13&amp;")"</f>
        <v>Силикатненское городское поселение(73636157)</v>
      </c>
      <c r="P13" s="352"/>
      <c r="Q13" s="352"/>
      <c r="R13" s="354"/>
      <c r="S13" s="352"/>
      <c r="T13" s="352"/>
      <c r="U13" s="352"/>
      <c r="V13" s="356"/>
      <c r="W13" s="356"/>
      <c r="X13" s="353"/>
      <c r="Y13" s="353"/>
      <c r="Z13" s="353"/>
      <c r="AA13" s="353"/>
      <c r="AB13" s="353"/>
    </row>
    <row r="14" spans="1:28" ht="15" customHeight="1">
      <c r="A14" s="4602"/>
      <c r="B14" s="1283" t="s">
        <v>101</v>
      </c>
      <c r="C14" s="1283"/>
      <c r="D14" s="718" t="s">
        <v>102</v>
      </c>
      <c r="E14" s="1789" t="str">
        <f>A12&amp;"."&amp;B14</f>
        <v>1.2</v>
      </c>
      <c r="F14" s="1794" t="s">
        <v>103</v>
      </c>
      <c r="G14" s="1798" t="s">
        <v>98</v>
      </c>
      <c r="H14" s="1798" t="s">
        <v>104</v>
      </c>
      <c r="I14" s="1796" t="s">
        <v>105</v>
      </c>
      <c r="J14" s="1537"/>
      <c r="K14" s="1549"/>
      <c r="L14" s="1549"/>
      <c r="M14" s="1537" t="str">
        <f t="array" ref="M14">IF(ISERROR(MATCH(MID(N14,1,250),MID(note_ter,1,250),0)),"n","y")</f>
        <v>n</v>
      </c>
      <c r="N14" s="1549"/>
      <c r="O14" s="1537" t="str">
        <f>H14&amp;"("&amp;I14&amp;")"</f>
        <v>Красногуляевское городское поселение(73636153)</v>
      </c>
      <c r="P14" s="1283"/>
      <c r="Q14" s="1283"/>
      <c r="R14" s="354"/>
      <c r="S14" s="1283"/>
      <c r="T14" s="1283"/>
      <c r="U14" s="1283"/>
      <c r="V14" s="751"/>
      <c r="W14" s="751"/>
      <c r="X14" s="549"/>
      <c r="Y14" s="549"/>
      <c r="Z14" s="549"/>
      <c r="AA14" s="549"/>
      <c r="AB14" s="549"/>
    </row>
    <row r="15" spans="1:28" s="1832" customFormat="1" ht="15" customHeight="1">
      <c r="A15" s="4601"/>
      <c r="B15" s="352"/>
      <c r="C15" s="347"/>
      <c r="D15" s="719"/>
      <c r="E15" s="355"/>
      <c r="F15" s="98"/>
      <c r="G15" s="350" t="s">
        <v>106</v>
      </c>
      <c r="H15" s="108"/>
      <c r="I15" s="358"/>
      <c r="J15" s="438"/>
      <c r="K15" s="438"/>
      <c r="L15" s="438"/>
      <c r="M15" s="438"/>
      <c r="N15" s="427"/>
      <c r="O15" s="438"/>
      <c r="P15" s="352"/>
      <c r="Q15" s="352"/>
      <c r="R15" s="354"/>
      <c r="S15" s="352"/>
      <c r="T15" s="352"/>
      <c r="U15" s="352"/>
      <c r="V15" s="356"/>
      <c r="W15" s="356"/>
      <c r="X15" s="353"/>
      <c r="Y15" s="353"/>
      <c r="Z15" s="353"/>
      <c r="AA15" s="353"/>
      <c r="AB15" s="353"/>
    </row>
    <row r="16" spans="1:28" ht="15" customHeight="1">
      <c r="A16" s="4602" t="s">
        <v>101</v>
      </c>
      <c r="B16" s="1061"/>
      <c r="C16" s="719" t="s">
        <v>102</v>
      </c>
      <c r="D16" s="1730"/>
      <c r="E16" s="1717" t="str">
        <f>A16</f>
        <v>2</v>
      </c>
      <c r="F16" s="722" t="s">
        <v>107</v>
      </c>
      <c r="G16" s="466" t="str">
        <f>"Территория "&amp;E16</f>
        <v>Территория 2</v>
      </c>
      <c r="H16" s="710"/>
      <c r="I16" s="710"/>
      <c r="J16" s="707"/>
      <c r="K16" s="1537"/>
      <c r="L16" s="1537"/>
      <c r="M16" s="1537"/>
      <c r="N16" s="147"/>
      <c r="O16" s="1537"/>
      <c r="P16" s="146"/>
      <c r="Q16" s="146"/>
      <c r="R16" s="146"/>
      <c r="S16" s="146"/>
      <c r="T16" s="1836"/>
      <c r="U16" s="1836"/>
      <c r="V16" s="1836"/>
      <c r="W16" s="1836"/>
      <c r="X16" s="1836"/>
      <c r="Y16" s="1836"/>
      <c r="Z16" s="1836"/>
      <c r="AA16" s="1836"/>
      <c r="AB16" s="1836"/>
    </row>
    <row r="17" spans="1:28" ht="15" customHeight="1">
      <c r="A17" s="4602"/>
      <c r="B17" s="1061">
        <v>1</v>
      </c>
      <c r="C17" s="1061"/>
      <c r="D17" s="718"/>
      <c r="E17" s="1725" t="str">
        <f>A16&amp;"."&amp;B17</f>
        <v>2.1</v>
      </c>
      <c r="F17" s="721" t="s">
        <v>108</v>
      </c>
      <c r="G17" s="711" t="s">
        <v>109</v>
      </c>
      <c r="H17" s="711" t="s">
        <v>110</v>
      </c>
      <c r="I17" s="709" t="s">
        <v>111</v>
      </c>
      <c r="J17" s="1537"/>
      <c r="K17" s="1549"/>
      <c r="L17" s="1549"/>
      <c r="M17" s="1537" t="str">
        <f t="array" ref="M17">IF(ISERROR(MATCH(MID(N17,1,250),MID(note_ter,1,250),0)),"n","y")</f>
        <v>n</v>
      </c>
      <c r="N17" s="1549"/>
      <c r="O17" s="1537" t="str">
        <f>H17&amp;"("&amp;I17&amp;")"</f>
        <v>Ишеевское городское поселение(73652151)</v>
      </c>
      <c r="P17" s="1061"/>
      <c r="Q17" s="1061"/>
      <c r="R17" s="354"/>
      <c r="S17" s="1061"/>
      <c r="T17" s="1061"/>
      <c r="U17" s="1061"/>
      <c r="V17" s="356"/>
      <c r="W17" s="356"/>
      <c r="X17" s="353"/>
      <c r="Y17" s="353"/>
      <c r="Z17" s="353"/>
      <c r="AA17" s="353"/>
      <c r="AB17" s="353"/>
    </row>
    <row r="18" spans="1:28" ht="15" customHeight="1">
      <c r="A18" s="4602"/>
      <c r="B18" s="1283" t="s">
        <v>101</v>
      </c>
      <c r="C18" s="1283"/>
      <c r="D18" s="718" t="s">
        <v>102</v>
      </c>
      <c r="E18" s="1789" t="str">
        <f>A16&amp;"."&amp;B18</f>
        <v>2.2</v>
      </c>
      <c r="F18" s="1794" t="s">
        <v>112</v>
      </c>
      <c r="G18" s="1798" t="s">
        <v>109</v>
      </c>
      <c r="H18" s="1798" t="s">
        <v>113</v>
      </c>
      <c r="I18" s="1796" t="s">
        <v>114</v>
      </c>
      <c r="J18" s="1537"/>
      <c r="K18" s="1549"/>
      <c r="L18" s="1549"/>
      <c r="M18" s="1537" t="str">
        <f t="array" ref="M18">IF(ISERROR(MATCH(MID(N18,1,250),MID(note_ter,1,250),0)),"n","y")</f>
        <v>n</v>
      </c>
      <c r="N18" s="1549"/>
      <c r="O18" s="1537" t="str">
        <f>H18&amp;"("&amp;I18&amp;")"</f>
        <v>Зеленорощинское(73652420)</v>
      </c>
      <c r="P18" s="1283"/>
      <c r="Q18" s="1283"/>
      <c r="R18" s="354"/>
      <c r="S18" s="1283"/>
      <c r="T18" s="1283"/>
      <c r="U18" s="1283"/>
      <c r="V18" s="751"/>
      <c r="W18" s="751"/>
      <c r="X18" s="549"/>
      <c r="Y18" s="549"/>
      <c r="Z18" s="549"/>
      <c r="AA18" s="549"/>
      <c r="AB18" s="549"/>
    </row>
    <row r="19" spans="1:28" ht="15" customHeight="1">
      <c r="A19" s="4602"/>
      <c r="B19" s="1283" t="s">
        <v>88</v>
      </c>
      <c r="C19" s="1283"/>
      <c r="D19" s="718" t="s">
        <v>102</v>
      </c>
      <c r="E19" s="1789" t="str">
        <f>A16&amp;"."&amp;B19</f>
        <v>2.3</v>
      </c>
      <c r="F19" s="1794" t="s">
        <v>115</v>
      </c>
      <c r="G19" s="1798" t="s">
        <v>109</v>
      </c>
      <c r="H19" s="1798" t="s">
        <v>116</v>
      </c>
      <c r="I19" s="1796" t="s">
        <v>117</v>
      </c>
      <c r="J19" s="1537"/>
      <c r="K19" s="1549"/>
      <c r="L19" s="1549"/>
      <c r="M19" s="1537" t="str">
        <f t="array" ref="M19">IF(ISERROR(MATCH(MID(N19,1,250),MID(note_ter,1,250),0)),"n","y")</f>
        <v>n</v>
      </c>
      <c r="N19" s="1549"/>
      <c r="O19" s="1537" t="str">
        <f>H19&amp;"("&amp;I19&amp;")"</f>
        <v>Большеключищенское(73652415)</v>
      </c>
      <c r="P19" s="1283"/>
      <c r="Q19" s="1283"/>
      <c r="R19" s="354"/>
      <c r="S19" s="1283"/>
      <c r="T19" s="1283"/>
      <c r="U19" s="1283"/>
      <c r="V19" s="751"/>
      <c r="W19" s="751"/>
      <c r="X19" s="549"/>
      <c r="Y19" s="549"/>
      <c r="Z19" s="549"/>
      <c r="AA19" s="549"/>
      <c r="AB19" s="549"/>
    </row>
    <row r="20" spans="1:28" ht="15" customHeight="1">
      <c r="A20" s="4602"/>
      <c r="B20" s="1061"/>
      <c r="C20" s="347"/>
      <c r="D20" s="719"/>
      <c r="E20" s="355"/>
      <c r="F20" s="98"/>
      <c r="G20" s="350" t="s">
        <v>106</v>
      </c>
      <c r="H20" s="108"/>
      <c r="I20" s="358"/>
      <c r="J20" s="1549"/>
      <c r="K20" s="1549"/>
      <c r="L20" s="1549"/>
      <c r="M20" s="1549"/>
      <c r="N20" s="1537"/>
      <c r="O20" s="1549"/>
      <c r="P20" s="1061"/>
      <c r="Q20" s="1061"/>
      <c r="R20" s="354"/>
      <c r="S20" s="1061"/>
      <c r="T20" s="1061"/>
      <c r="U20" s="1061"/>
      <c r="V20" s="356"/>
      <c r="W20" s="356"/>
      <c r="X20" s="353"/>
      <c r="Y20" s="353"/>
      <c r="Z20" s="353"/>
      <c r="AA20" s="353"/>
      <c r="AB20" s="353"/>
    </row>
    <row r="21" spans="1:28" ht="15" customHeight="1">
      <c r="A21" s="4602" t="s">
        <v>88</v>
      </c>
      <c r="B21" s="1061"/>
      <c r="C21" s="719" t="s">
        <v>102</v>
      </c>
      <c r="D21" s="1730"/>
      <c r="E21" s="1717" t="str">
        <f>A21</f>
        <v>3</v>
      </c>
      <c r="F21" s="722" t="s">
        <v>118</v>
      </c>
      <c r="G21" s="466" t="str">
        <f>"Территория "&amp;E21</f>
        <v>Территория 3</v>
      </c>
      <c r="H21" s="710"/>
      <c r="I21" s="710"/>
      <c r="J21" s="707"/>
      <c r="K21" s="1537"/>
      <c r="L21" s="1537"/>
      <c r="M21" s="1537"/>
      <c r="N21" s="147"/>
      <c r="O21" s="1537"/>
      <c r="P21" s="146"/>
      <c r="Q21" s="146"/>
      <c r="R21" s="146"/>
      <c r="S21" s="146"/>
      <c r="T21" s="1836"/>
      <c r="U21" s="1836"/>
      <c r="V21" s="1836"/>
      <c r="W21" s="1836"/>
      <c r="X21" s="1836"/>
      <c r="Y21" s="1836"/>
      <c r="Z21" s="1836"/>
      <c r="AA21" s="1836"/>
      <c r="AB21" s="1836"/>
    </row>
    <row r="22" spans="1:28" ht="15" customHeight="1">
      <c r="A22" s="4602"/>
      <c r="B22" s="1061">
        <v>1</v>
      </c>
      <c r="C22" s="1061"/>
      <c r="D22" s="718"/>
      <c r="E22" s="1725" t="str">
        <f>A21&amp;"."&amp;B22</f>
        <v>3.1</v>
      </c>
      <c r="F22" s="721" t="s">
        <v>119</v>
      </c>
      <c r="G22" s="711" t="s">
        <v>120</v>
      </c>
      <c r="H22" s="711" t="s">
        <v>121</v>
      </c>
      <c r="I22" s="709" t="s">
        <v>122</v>
      </c>
      <c r="J22" s="1537"/>
      <c r="K22" s="1549"/>
      <c r="L22" s="1549"/>
      <c r="M22" s="1537" t="str">
        <f t="array" ref="M22">IF(ISERROR(MATCH(MID(N22,1,250),MID(note_ter,1,250),0)),"n","y")</f>
        <v>n</v>
      </c>
      <c r="N22" s="1549"/>
      <c r="O22" s="1537" t="str">
        <f>H22&amp;"("&amp;I22&amp;")"</f>
        <v>Тереньгульское городское поселение(73648151)</v>
      </c>
      <c r="P22" s="1061"/>
      <c r="Q22" s="1061"/>
      <c r="R22" s="354"/>
      <c r="S22" s="1061"/>
      <c r="T22" s="1061"/>
      <c r="U22" s="1061"/>
      <c r="V22" s="356"/>
      <c r="W22" s="356"/>
      <c r="X22" s="353"/>
      <c r="Y22" s="353"/>
      <c r="Z22" s="353"/>
      <c r="AA22" s="353"/>
      <c r="AB22" s="353"/>
    </row>
    <row r="23" spans="1:28" ht="15" customHeight="1">
      <c r="A23" s="4602"/>
      <c r="B23" s="1061"/>
      <c r="C23" s="347"/>
      <c r="D23" s="719"/>
      <c r="E23" s="355"/>
      <c r="F23" s="98"/>
      <c r="G23" s="350" t="s">
        <v>106</v>
      </c>
      <c r="H23" s="108"/>
      <c r="I23" s="358"/>
      <c r="J23" s="1549"/>
      <c r="K23" s="1549"/>
      <c r="L23" s="1549"/>
      <c r="M23" s="1549"/>
      <c r="N23" s="1537"/>
      <c r="O23" s="1549"/>
      <c r="P23" s="1061"/>
      <c r="Q23" s="1061"/>
      <c r="R23" s="354"/>
      <c r="S23" s="1061"/>
      <c r="T23" s="1061"/>
      <c r="U23" s="1061"/>
      <c r="V23" s="356"/>
      <c r="W23" s="356"/>
      <c r="X23" s="353"/>
      <c r="Y23" s="353"/>
      <c r="Z23" s="353"/>
      <c r="AA23" s="353"/>
      <c r="AB23" s="353"/>
    </row>
    <row r="24" spans="1:28" ht="15" customHeight="1">
      <c r="A24" s="4602" t="s">
        <v>89</v>
      </c>
      <c r="B24" s="1061"/>
      <c r="C24" s="719" t="s">
        <v>102</v>
      </c>
      <c r="D24" s="1730"/>
      <c r="E24" s="1717" t="str">
        <f>A24</f>
        <v>4</v>
      </c>
      <c r="F24" s="722" t="s">
        <v>123</v>
      </c>
      <c r="G24" s="466" t="str">
        <f>"Территория "&amp;E24</f>
        <v>Территория 4</v>
      </c>
      <c r="H24" s="710"/>
      <c r="I24" s="710"/>
      <c r="J24" s="707"/>
      <c r="K24" s="1537"/>
      <c r="L24" s="1537"/>
      <c r="M24" s="1537"/>
      <c r="N24" s="147"/>
      <c r="O24" s="1537"/>
      <c r="P24" s="146"/>
      <c r="Q24" s="146"/>
      <c r="R24" s="146"/>
      <c r="S24" s="146"/>
      <c r="T24" s="1836"/>
      <c r="U24" s="1836"/>
      <c r="V24" s="1836"/>
      <c r="W24" s="1836"/>
      <c r="X24" s="1836"/>
      <c r="Y24" s="1836"/>
      <c r="Z24" s="1836"/>
      <c r="AA24" s="1836"/>
      <c r="AB24" s="1836"/>
    </row>
    <row r="25" spans="1:28" ht="15" customHeight="1">
      <c r="A25" s="4602"/>
      <c r="B25" s="1061">
        <v>1</v>
      </c>
      <c r="C25" s="1061"/>
      <c r="D25" s="718"/>
      <c r="E25" s="1725" t="str">
        <f>A24&amp;"."&amp;B25</f>
        <v>4.1</v>
      </c>
      <c r="F25" s="721" t="s">
        <v>124</v>
      </c>
      <c r="G25" s="711" t="s">
        <v>125</v>
      </c>
      <c r="H25" s="711" t="s">
        <v>126</v>
      </c>
      <c r="I25" s="709" t="s">
        <v>127</v>
      </c>
      <c r="J25" s="1537"/>
      <c r="K25" s="1549"/>
      <c r="L25" s="1549"/>
      <c r="M25" s="1537" t="str">
        <f t="array" ref="M25">IF(ISERROR(MATCH(MID(N25,1,250),MID(note_ter,1,250),0)),"n","y")</f>
        <v>n</v>
      </c>
      <c r="N25" s="1549"/>
      <c r="O25" s="1537" t="str">
        <f>H25&amp;"("&amp;I25&amp;")"</f>
        <v>Майнское городское поселение(73620151)</v>
      </c>
      <c r="P25" s="1061"/>
      <c r="Q25" s="1061"/>
      <c r="R25" s="354"/>
      <c r="S25" s="1061"/>
      <c r="T25" s="1061"/>
      <c r="U25" s="1061"/>
      <c r="V25" s="356"/>
      <c r="W25" s="356"/>
      <c r="X25" s="353"/>
      <c r="Y25" s="353"/>
      <c r="Z25" s="353"/>
      <c r="AA25" s="353"/>
      <c r="AB25" s="353"/>
    </row>
    <row r="26" spans="1:28" ht="15" customHeight="1">
      <c r="A26" s="4602"/>
      <c r="B26" s="1061"/>
      <c r="C26" s="347"/>
      <c r="D26" s="719"/>
      <c r="E26" s="355"/>
      <c r="F26" s="98"/>
      <c r="G26" s="350" t="s">
        <v>106</v>
      </c>
      <c r="H26" s="108"/>
      <c r="I26" s="358"/>
      <c r="J26" s="1549"/>
      <c r="K26" s="1549"/>
      <c r="L26" s="1549"/>
      <c r="M26" s="1549"/>
      <c r="N26" s="1537"/>
      <c r="O26" s="1549"/>
      <c r="P26" s="1061"/>
      <c r="Q26" s="1061"/>
      <c r="R26" s="354"/>
      <c r="S26" s="1061"/>
      <c r="T26" s="1061"/>
      <c r="U26" s="1061"/>
      <c r="V26" s="356"/>
      <c r="W26" s="356"/>
      <c r="X26" s="353"/>
      <c r="Y26" s="353"/>
      <c r="Z26" s="353"/>
      <c r="AA26" s="353"/>
      <c r="AB26" s="353"/>
    </row>
    <row r="27" spans="1:28" ht="15" customHeight="1">
      <c r="A27" s="4602" t="s">
        <v>128</v>
      </c>
      <c r="B27" s="1061"/>
      <c r="C27" s="719" t="s">
        <v>102</v>
      </c>
      <c r="D27" s="1730"/>
      <c r="E27" s="1717" t="str">
        <f>A27</f>
        <v>5</v>
      </c>
      <c r="F27" s="722" t="s">
        <v>129</v>
      </c>
      <c r="G27" s="466" t="str">
        <f>"Территория "&amp;E27</f>
        <v>Территория 5</v>
      </c>
      <c r="H27" s="710"/>
      <c r="I27" s="710"/>
      <c r="J27" s="707"/>
      <c r="K27" s="1537"/>
      <c r="L27" s="1537"/>
      <c r="M27" s="1537"/>
      <c r="N27" s="147"/>
      <c r="O27" s="1537"/>
      <c r="P27" s="146"/>
      <c r="Q27" s="146"/>
      <c r="R27" s="146"/>
      <c r="S27" s="146"/>
      <c r="T27" s="1836"/>
      <c r="U27" s="1836"/>
      <c r="V27" s="1836"/>
      <c r="W27" s="1836"/>
      <c r="X27" s="1836"/>
      <c r="Y27" s="1836"/>
      <c r="Z27" s="1836"/>
      <c r="AA27" s="1836"/>
      <c r="AB27" s="1836"/>
    </row>
    <row r="28" spans="1:28" ht="15" customHeight="1">
      <c r="A28" s="4602"/>
      <c r="B28" s="1061">
        <v>1</v>
      </c>
      <c r="C28" s="1061"/>
      <c r="D28" s="718"/>
      <c r="E28" s="1725" t="str">
        <f>A27&amp;"."&amp;B28</f>
        <v>5.1</v>
      </c>
      <c r="F28" s="721" t="s">
        <v>130</v>
      </c>
      <c r="G28" s="711" t="s">
        <v>131</v>
      </c>
      <c r="H28" s="711" t="s">
        <v>132</v>
      </c>
      <c r="I28" s="709" t="s">
        <v>133</v>
      </c>
      <c r="J28" s="1537"/>
      <c r="K28" s="1549"/>
      <c r="L28" s="1549"/>
      <c r="M28" s="1537" t="str">
        <f t="array" ref="M28">IF(ISERROR(MATCH(MID(N28,1,250),MID(note_ter,1,250),0)),"n","y")</f>
        <v>n</v>
      </c>
      <c r="N28" s="1549"/>
      <c r="O28" s="1537" t="str">
        <f>H28&amp;"("&amp;I28&amp;")"</f>
        <v>Карсунское городское поселение(73614151)</v>
      </c>
      <c r="P28" s="1061"/>
      <c r="Q28" s="1061"/>
      <c r="R28" s="354"/>
      <c r="S28" s="1061"/>
      <c r="T28" s="1061"/>
      <c r="U28" s="1061"/>
      <c r="V28" s="356"/>
      <c r="W28" s="356"/>
      <c r="X28" s="353"/>
      <c r="Y28" s="353"/>
      <c r="Z28" s="353"/>
      <c r="AA28" s="353"/>
      <c r="AB28" s="353"/>
    </row>
    <row r="29" spans="1:28" ht="15" customHeight="1">
      <c r="A29" s="4602"/>
      <c r="B29" s="1283" t="s">
        <v>101</v>
      </c>
      <c r="C29" s="1283"/>
      <c r="D29" s="718" t="s">
        <v>102</v>
      </c>
      <c r="E29" s="1789" t="str">
        <f>A27&amp;"."&amp;B29</f>
        <v>5.2</v>
      </c>
      <c r="F29" s="1794" t="s">
        <v>134</v>
      </c>
      <c r="G29" s="1798" t="s">
        <v>131</v>
      </c>
      <c r="H29" s="1798" t="s">
        <v>135</v>
      </c>
      <c r="I29" s="1796" t="s">
        <v>136</v>
      </c>
      <c r="J29" s="1537"/>
      <c r="K29" s="1549"/>
      <c r="L29" s="1549"/>
      <c r="M29" s="1537" t="str">
        <f t="array" ref="M29">IF(ISERROR(MATCH(MID(N29,1,250),MID(note_ter,1,250),0)),"n","y")</f>
        <v>n</v>
      </c>
      <c r="N29" s="1549"/>
      <c r="O29" s="1537" t="str">
        <f>H29&amp;"("&amp;I29&amp;")"</f>
        <v>Языковское городское поселение(73614158)</v>
      </c>
      <c r="P29" s="1283"/>
      <c r="Q29" s="1283"/>
      <c r="R29" s="354"/>
      <c r="S29" s="1283"/>
      <c r="T29" s="1283"/>
      <c r="U29" s="1283"/>
      <c r="V29" s="751"/>
      <c r="W29" s="751"/>
      <c r="X29" s="549"/>
      <c r="Y29" s="549"/>
      <c r="Z29" s="549"/>
      <c r="AA29" s="549"/>
      <c r="AB29" s="549"/>
    </row>
    <row r="30" spans="1:28" ht="15" customHeight="1">
      <c r="A30" s="4602"/>
      <c r="B30" s="1061"/>
      <c r="C30" s="347"/>
      <c r="D30" s="719"/>
      <c r="E30" s="355"/>
      <c r="F30" s="98"/>
      <c r="G30" s="350" t="s">
        <v>106</v>
      </c>
      <c r="H30" s="108"/>
      <c r="I30" s="358"/>
      <c r="J30" s="1549"/>
      <c r="K30" s="1549"/>
      <c r="L30" s="1549"/>
      <c r="M30" s="1549"/>
      <c r="N30" s="1537"/>
      <c r="O30" s="1549"/>
      <c r="P30" s="1061"/>
      <c r="Q30" s="1061"/>
      <c r="R30" s="354"/>
      <c r="S30" s="1061"/>
      <c r="T30" s="1061"/>
      <c r="U30" s="1061"/>
      <c r="V30" s="356"/>
      <c r="W30" s="356"/>
      <c r="X30" s="353"/>
      <c r="Y30" s="353"/>
      <c r="Z30" s="353"/>
      <c r="AA30" s="353"/>
      <c r="AB30" s="353"/>
    </row>
    <row r="31" spans="1:28" ht="15" customHeight="1">
      <c r="A31" s="4602" t="s">
        <v>90</v>
      </c>
      <c r="B31" s="1061"/>
      <c r="C31" s="719" t="s">
        <v>102</v>
      </c>
      <c r="D31" s="1730"/>
      <c r="E31" s="1717" t="str">
        <f>A31</f>
        <v>6</v>
      </c>
      <c r="F31" s="722" t="s">
        <v>137</v>
      </c>
      <c r="G31" s="466" t="str">
        <f>"Территория "&amp;E31</f>
        <v>Территория 6</v>
      </c>
      <c r="H31" s="710"/>
      <c r="I31" s="710"/>
      <c r="J31" s="707"/>
      <c r="K31" s="1537"/>
      <c r="L31" s="1537"/>
      <c r="M31" s="1537"/>
      <c r="N31" s="147"/>
      <c r="O31" s="1537"/>
      <c r="P31" s="146"/>
      <c r="Q31" s="146"/>
      <c r="R31" s="146"/>
      <c r="S31" s="146"/>
      <c r="T31" s="1836"/>
      <c r="U31" s="1836"/>
      <c r="V31" s="1836"/>
      <c r="W31" s="1836"/>
      <c r="X31" s="1836"/>
      <c r="Y31" s="1836"/>
      <c r="Z31" s="1836"/>
      <c r="AA31" s="1836"/>
      <c r="AB31" s="1836"/>
    </row>
    <row r="32" spans="1:28" ht="15" customHeight="1">
      <c r="A32" s="4602"/>
      <c r="B32" s="1061">
        <v>1</v>
      </c>
      <c r="C32" s="1061"/>
      <c r="D32" s="718"/>
      <c r="E32" s="1725" t="str">
        <f>A31&amp;"."&amp;B32</f>
        <v>6.1</v>
      </c>
      <c r="F32" s="721" t="s">
        <v>138</v>
      </c>
      <c r="G32" s="711" t="s">
        <v>139</v>
      </c>
      <c r="H32" s="711" t="s">
        <v>140</v>
      </c>
      <c r="I32" s="709" t="s">
        <v>141</v>
      </c>
      <c r="J32" s="1537"/>
      <c r="K32" s="1549"/>
      <c r="L32" s="1549"/>
      <c r="M32" s="1537" t="str">
        <f t="array" ref="M32">IF(ISERROR(MATCH(MID(N32,1,250),MID(note_ter,1,250),0)),"n","y")</f>
        <v>n</v>
      </c>
      <c r="N32" s="1549"/>
      <c r="O32" s="1537" t="str">
        <f>H32&amp;"("&amp;I32&amp;")"</f>
        <v>Барышское городское поселение(73604101)</v>
      </c>
      <c r="P32" s="1061"/>
      <c r="Q32" s="1061"/>
      <c r="R32" s="354"/>
      <c r="S32" s="1061"/>
      <c r="T32" s="1061"/>
      <c r="U32" s="1061"/>
      <c r="V32" s="356"/>
      <c r="W32" s="356"/>
      <c r="X32" s="353"/>
      <c r="Y32" s="353"/>
      <c r="Z32" s="353"/>
      <c r="AA32" s="353"/>
      <c r="AB32" s="353"/>
    </row>
    <row r="33" spans="1:28" ht="15" customHeight="1">
      <c r="A33" s="4602"/>
      <c r="B33" s="1061"/>
      <c r="C33" s="347"/>
      <c r="D33" s="719"/>
      <c r="E33" s="355"/>
      <c r="F33" s="98"/>
      <c r="G33" s="350" t="s">
        <v>106</v>
      </c>
      <c r="H33" s="108"/>
      <c r="I33" s="358"/>
      <c r="J33" s="1549"/>
      <c r="K33" s="1549"/>
      <c r="L33" s="1549"/>
      <c r="M33" s="1549"/>
      <c r="N33" s="1537"/>
      <c r="O33" s="1549"/>
      <c r="P33" s="1061"/>
      <c r="Q33" s="1061"/>
      <c r="R33" s="354"/>
      <c r="S33" s="1061"/>
      <c r="T33" s="1061"/>
      <c r="U33" s="1061"/>
      <c r="V33" s="356"/>
      <c r="W33" s="356"/>
      <c r="X33" s="353"/>
      <c r="Y33" s="353"/>
      <c r="Z33" s="353"/>
      <c r="AA33" s="353"/>
      <c r="AB33" s="353"/>
    </row>
    <row r="34" spans="1:28" ht="15" customHeight="1">
      <c r="A34" s="4602" t="s">
        <v>91</v>
      </c>
      <c r="B34" s="1061"/>
      <c r="C34" s="719" t="s">
        <v>102</v>
      </c>
      <c r="D34" s="1730"/>
      <c r="E34" s="1717" t="str">
        <f>A34</f>
        <v>7</v>
      </c>
      <c r="F34" s="722" t="s">
        <v>142</v>
      </c>
      <c r="G34" s="466" t="str">
        <f>"Территория "&amp;E34</f>
        <v>Территория 7</v>
      </c>
      <c r="H34" s="710"/>
      <c r="I34" s="710"/>
      <c r="J34" s="707"/>
      <c r="K34" s="1537"/>
      <c r="L34" s="1537"/>
      <c r="M34" s="1537"/>
      <c r="N34" s="147"/>
      <c r="O34" s="1537"/>
      <c r="P34" s="146"/>
      <c r="Q34" s="146"/>
      <c r="R34" s="146"/>
      <c r="S34" s="146"/>
      <c r="T34" s="1836"/>
      <c r="U34" s="1836"/>
      <c r="V34" s="1836"/>
      <c r="W34" s="1836"/>
      <c r="X34" s="1836"/>
      <c r="Y34" s="1836"/>
      <c r="Z34" s="1836"/>
      <c r="AA34" s="1836"/>
      <c r="AB34" s="1836"/>
    </row>
    <row r="35" spans="1:28" ht="15" customHeight="1">
      <c r="A35" s="4602"/>
      <c r="B35" s="1061">
        <v>1</v>
      </c>
      <c r="C35" s="1061"/>
      <c r="D35" s="718"/>
      <c r="E35" s="1725" t="str">
        <f>A34&amp;"."&amp;B35</f>
        <v>7.1</v>
      </c>
      <c r="F35" s="721" t="s">
        <v>143</v>
      </c>
      <c r="G35" s="711" t="s">
        <v>144</v>
      </c>
      <c r="H35" s="711" t="s">
        <v>145</v>
      </c>
      <c r="I35" s="709" t="s">
        <v>146</v>
      </c>
      <c r="J35" s="1537"/>
      <c r="K35" s="1549"/>
      <c r="L35" s="1549"/>
      <c r="M35" s="1537" t="str">
        <f t="array" ref="M35">IF(ISERROR(MATCH(MID(N35,1,250),MID(note_ter,1,250),0)),"n","y")</f>
        <v>n</v>
      </c>
      <c r="N35" s="1549"/>
      <c r="O35" s="1537" t="str">
        <f>H35&amp;"("&amp;I35&amp;")"</f>
        <v>Павловское городское поселение(73632151)</v>
      </c>
      <c r="P35" s="1061"/>
      <c r="Q35" s="1061"/>
      <c r="R35" s="354"/>
      <c r="S35" s="1061"/>
      <c r="T35" s="1061"/>
      <c r="U35" s="1061"/>
      <c r="V35" s="356"/>
      <c r="W35" s="356"/>
      <c r="X35" s="353"/>
      <c r="Y35" s="353"/>
      <c r="Z35" s="353"/>
      <c r="AA35" s="353"/>
      <c r="AB35" s="353"/>
    </row>
    <row r="36" spans="1:28" ht="15" customHeight="1">
      <c r="A36" s="4602"/>
      <c r="B36" s="1061"/>
      <c r="C36" s="347"/>
      <c r="D36" s="719"/>
      <c r="E36" s="355"/>
      <c r="F36" s="98"/>
      <c r="G36" s="350" t="s">
        <v>106</v>
      </c>
      <c r="H36" s="108"/>
      <c r="I36" s="358"/>
      <c r="J36" s="1549"/>
      <c r="K36" s="1549"/>
      <c r="L36" s="1549"/>
      <c r="M36" s="1549"/>
      <c r="N36" s="1537"/>
      <c r="O36" s="1549"/>
      <c r="P36" s="1061"/>
      <c r="Q36" s="1061"/>
      <c r="R36" s="354"/>
      <c r="S36" s="1061"/>
      <c r="T36" s="1061"/>
      <c r="U36" s="1061"/>
      <c r="V36" s="356"/>
      <c r="W36" s="356"/>
      <c r="X36" s="353"/>
      <c r="Y36" s="353"/>
      <c r="Z36" s="353"/>
      <c r="AA36" s="353"/>
      <c r="AB36" s="353"/>
    </row>
    <row r="37" spans="1:28" ht="15" customHeight="1">
      <c r="A37" s="4602" t="s">
        <v>138</v>
      </c>
      <c r="B37" s="1061"/>
      <c r="C37" s="719" t="s">
        <v>102</v>
      </c>
      <c r="D37" s="1730"/>
      <c r="E37" s="1717" t="str">
        <f>A37</f>
        <v>8</v>
      </c>
      <c r="F37" s="722" t="s">
        <v>147</v>
      </c>
      <c r="G37" s="466" t="str">
        <f>"Территория "&amp;E37</f>
        <v>Территория 8</v>
      </c>
      <c r="H37" s="710"/>
      <c r="I37" s="710"/>
      <c r="J37" s="707"/>
      <c r="K37" s="1537"/>
      <c r="L37" s="1537"/>
      <c r="M37" s="1537"/>
      <c r="N37" s="147"/>
      <c r="O37" s="1537"/>
      <c r="P37" s="146"/>
      <c r="Q37" s="146"/>
      <c r="R37" s="146"/>
      <c r="S37" s="146"/>
      <c r="T37" s="1836"/>
      <c r="U37" s="1836"/>
      <c r="V37" s="1836"/>
      <c r="W37" s="1836"/>
      <c r="X37" s="1836"/>
      <c r="Y37" s="1836"/>
      <c r="Z37" s="1836"/>
      <c r="AA37" s="1836"/>
      <c r="AB37" s="1836"/>
    </row>
    <row r="38" spans="1:28" ht="15" customHeight="1">
      <c r="A38" s="4602"/>
      <c r="B38" s="1061">
        <v>1</v>
      </c>
      <c r="C38" s="1061"/>
      <c r="D38" s="718"/>
      <c r="E38" s="1725" t="str">
        <f>A37&amp;"."&amp;B38</f>
        <v>8.1</v>
      </c>
      <c r="F38" s="721" t="s">
        <v>148</v>
      </c>
      <c r="G38" s="711" t="s">
        <v>149</v>
      </c>
      <c r="H38" s="711" t="s">
        <v>149</v>
      </c>
      <c r="I38" s="709" t="s">
        <v>150</v>
      </c>
      <c r="J38" s="1537"/>
      <c r="K38" s="1549"/>
      <c r="L38" s="1549"/>
      <c r="M38" s="1537" t="str">
        <f t="array" ref="M38">IF(ISERROR(MATCH(MID(N38,1,250),MID(note_ter,1,250),0)),"n","y")</f>
        <v>n</v>
      </c>
      <c r="N38" s="1549"/>
      <c r="O38" s="1537" t="str">
        <f>H38&amp;"("&amp;I38&amp;")"</f>
        <v>город Новоульяновск(73715000)</v>
      </c>
      <c r="P38" s="1061"/>
      <c r="Q38" s="1061"/>
      <c r="R38" s="354"/>
      <c r="S38" s="1061"/>
      <c r="T38" s="1061"/>
      <c r="U38" s="1061"/>
      <c r="V38" s="356"/>
      <c r="W38" s="356"/>
      <c r="X38" s="353"/>
      <c r="Y38" s="353"/>
      <c r="Z38" s="353"/>
      <c r="AA38" s="353"/>
      <c r="AB38" s="353"/>
    </row>
    <row r="39" spans="1:28" ht="15" customHeight="1">
      <c r="A39" s="4602"/>
      <c r="B39" s="1061"/>
      <c r="C39" s="347"/>
      <c r="D39" s="719"/>
      <c r="E39" s="355"/>
      <c r="F39" s="98"/>
      <c r="G39" s="350" t="s">
        <v>106</v>
      </c>
      <c r="H39" s="108"/>
      <c r="I39" s="358"/>
      <c r="J39" s="1549"/>
      <c r="K39" s="1549"/>
      <c r="L39" s="1549"/>
      <c r="M39" s="1549"/>
      <c r="N39" s="1537"/>
      <c r="O39" s="1549"/>
      <c r="P39" s="1061"/>
      <c r="Q39" s="1061"/>
      <c r="R39" s="354"/>
      <c r="S39" s="1061"/>
      <c r="T39" s="1061"/>
      <c r="U39" s="1061"/>
      <c r="V39" s="356"/>
      <c r="W39" s="356"/>
      <c r="X39" s="353"/>
      <c r="Y39" s="353"/>
      <c r="Z39" s="353"/>
      <c r="AA39" s="353"/>
      <c r="AB39" s="353"/>
    </row>
    <row r="40" spans="1:28" ht="15" customHeight="1">
      <c r="A40" s="4602" t="s">
        <v>151</v>
      </c>
      <c r="B40" s="1061"/>
      <c r="C40" s="719" t="s">
        <v>102</v>
      </c>
      <c r="D40" s="1730"/>
      <c r="E40" s="1717" t="str">
        <f>A40</f>
        <v>9</v>
      </c>
      <c r="F40" s="722" t="s">
        <v>152</v>
      </c>
      <c r="G40" s="466" t="str">
        <f>"Территория "&amp;E40</f>
        <v>Территория 9</v>
      </c>
      <c r="H40" s="710"/>
      <c r="I40" s="710"/>
      <c r="J40" s="707"/>
      <c r="K40" s="1537"/>
      <c r="L40" s="1537"/>
      <c r="M40" s="1537"/>
      <c r="N40" s="147"/>
      <c r="O40" s="1537"/>
      <c r="P40" s="146"/>
      <c r="Q40" s="146"/>
      <c r="R40" s="146"/>
      <c r="S40" s="146"/>
      <c r="T40" s="1836"/>
      <c r="U40" s="1836"/>
      <c r="V40" s="1836"/>
      <c r="W40" s="1836"/>
      <c r="X40" s="1836"/>
      <c r="Y40" s="1836"/>
      <c r="Z40" s="1836"/>
      <c r="AA40" s="1836"/>
      <c r="AB40" s="1836"/>
    </row>
    <row r="41" spans="1:28" ht="15" customHeight="1">
      <c r="A41" s="4602"/>
      <c r="B41" s="1061">
        <v>1</v>
      </c>
      <c r="C41" s="1061"/>
      <c r="D41" s="718"/>
      <c r="E41" s="1725" t="str">
        <f>A40&amp;"."&amp;B41</f>
        <v>9.1</v>
      </c>
      <c r="F41" s="721" t="s">
        <v>153</v>
      </c>
      <c r="G41" s="711" t="s">
        <v>154</v>
      </c>
      <c r="H41" s="711" t="s">
        <v>155</v>
      </c>
      <c r="I41" s="709" t="s">
        <v>156</v>
      </c>
      <c r="J41" s="1537"/>
      <c r="K41" s="1549"/>
      <c r="L41" s="1549"/>
      <c r="M41" s="1537" t="str">
        <f t="array" ref="M41">IF(ISERROR(MATCH(MID(N41,1,250),MID(note_ter,1,250),0)),"n","y")</f>
        <v>n</v>
      </c>
      <c r="N41" s="1549"/>
      <c r="O41" s="1537" t="str">
        <f>H41&amp;"("&amp;I41&amp;")"</f>
        <v>Николаевское городское поселение(73625151)</v>
      </c>
      <c r="P41" s="1061"/>
      <c r="Q41" s="1061"/>
      <c r="R41" s="354"/>
      <c r="S41" s="1061"/>
      <c r="T41" s="1061"/>
      <c r="U41" s="1061"/>
      <c r="V41" s="356"/>
      <c r="W41" s="356"/>
      <c r="X41" s="353"/>
      <c r="Y41" s="353"/>
      <c r="Z41" s="353"/>
      <c r="AA41" s="353"/>
      <c r="AB41" s="353"/>
    </row>
    <row r="42" spans="1:28" ht="15" customHeight="1">
      <c r="A42" s="4602"/>
      <c r="B42" s="1061"/>
      <c r="C42" s="347"/>
      <c r="D42" s="719"/>
      <c r="E42" s="355"/>
      <c r="F42" s="98"/>
      <c r="G42" s="350" t="s">
        <v>106</v>
      </c>
      <c r="H42" s="108"/>
      <c r="I42" s="358"/>
      <c r="J42" s="1549"/>
      <c r="K42" s="1549"/>
      <c r="L42" s="1549"/>
      <c r="M42" s="1549"/>
      <c r="N42" s="1537"/>
      <c r="O42" s="1549"/>
      <c r="P42" s="1061"/>
      <c r="Q42" s="1061"/>
      <c r="R42" s="354"/>
      <c r="S42" s="1061"/>
      <c r="T42" s="1061"/>
      <c r="U42" s="1061"/>
      <c r="V42" s="356"/>
      <c r="W42" s="356"/>
      <c r="X42" s="353"/>
      <c r="Y42" s="353"/>
      <c r="Z42" s="353"/>
      <c r="AA42" s="353"/>
      <c r="AB42" s="353"/>
    </row>
    <row r="43" spans="1:28" ht="15" customHeight="1">
      <c r="A43" s="4602" t="s">
        <v>157</v>
      </c>
      <c r="B43" s="1061"/>
      <c r="C43" s="719" t="s">
        <v>102</v>
      </c>
      <c r="D43" s="1730"/>
      <c r="E43" s="1717" t="str">
        <f>A43</f>
        <v>10</v>
      </c>
      <c r="F43" s="722" t="s">
        <v>158</v>
      </c>
      <c r="G43" s="466" t="str">
        <f>"Территория "&amp;E43</f>
        <v>Территория 10</v>
      </c>
      <c r="H43" s="710"/>
      <c r="I43" s="710"/>
      <c r="J43" s="707"/>
      <c r="K43" s="1537"/>
      <c r="L43" s="1537"/>
      <c r="M43" s="1537"/>
      <c r="N43" s="147"/>
      <c r="O43" s="1537"/>
      <c r="P43" s="146"/>
      <c r="Q43" s="146"/>
      <c r="R43" s="146"/>
      <c r="S43" s="146"/>
      <c r="T43" s="1836"/>
      <c r="U43" s="1836"/>
      <c r="V43" s="1836"/>
      <c r="W43" s="1836"/>
      <c r="X43" s="1836"/>
      <c r="Y43" s="1836"/>
      <c r="Z43" s="1836"/>
      <c r="AA43" s="1836"/>
      <c r="AB43" s="1836"/>
    </row>
    <row r="44" spans="1:28" ht="15" customHeight="1">
      <c r="A44" s="4602"/>
      <c r="B44" s="1061">
        <v>1</v>
      </c>
      <c r="C44" s="1061"/>
      <c r="D44" s="718"/>
      <c r="E44" s="1725" t="str">
        <f>A43&amp;"."&amp;B44</f>
        <v>10.1</v>
      </c>
      <c r="F44" s="721" t="s">
        <v>101</v>
      </c>
      <c r="G44" s="711" t="s">
        <v>159</v>
      </c>
      <c r="H44" s="711" t="s">
        <v>160</v>
      </c>
      <c r="I44" s="709" t="s">
        <v>161</v>
      </c>
      <c r="J44" s="1537"/>
      <c r="K44" s="1549"/>
      <c r="L44" s="1549"/>
      <c r="M44" s="1537" t="str">
        <f t="array" ref="M44">IF(ISERROR(MATCH(MID(N44,1,250),MID(note_ter,1,250),0)),"n","y")</f>
        <v>n</v>
      </c>
      <c r="N44" s="1549"/>
      <c r="O44" s="1537" t="str">
        <f>H44&amp;"("&amp;I44&amp;")"</f>
        <v>Базарносызганское городское поселение(73602151)</v>
      </c>
      <c r="P44" s="1061"/>
      <c r="Q44" s="1061"/>
      <c r="R44" s="354"/>
      <c r="S44" s="1061"/>
      <c r="T44" s="1061"/>
      <c r="U44" s="1061"/>
      <c r="V44" s="356"/>
      <c r="W44" s="356"/>
      <c r="X44" s="353"/>
      <c r="Y44" s="353"/>
      <c r="Z44" s="353"/>
      <c r="AA44" s="353"/>
      <c r="AB44" s="353"/>
    </row>
    <row r="45" spans="1:28" ht="15" customHeight="1">
      <c r="A45" s="4602"/>
      <c r="B45" s="1061"/>
      <c r="C45" s="347"/>
      <c r="D45" s="719"/>
      <c r="E45" s="355"/>
      <c r="F45" s="98"/>
      <c r="G45" s="350" t="s">
        <v>106</v>
      </c>
      <c r="H45" s="108"/>
      <c r="I45" s="358"/>
      <c r="J45" s="1549"/>
      <c r="K45" s="1549"/>
      <c r="L45" s="1549"/>
      <c r="M45" s="1549"/>
      <c r="N45" s="1537"/>
      <c r="O45" s="1549"/>
      <c r="P45" s="1061"/>
      <c r="Q45" s="1061"/>
      <c r="R45" s="354"/>
      <c r="S45" s="1061"/>
      <c r="T45" s="1061"/>
      <c r="U45" s="1061"/>
      <c r="V45" s="356"/>
      <c r="W45" s="356"/>
      <c r="X45" s="353"/>
      <c r="Y45" s="353"/>
      <c r="Z45" s="353"/>
      <c r="AA45" s="353"/>
      <c r="AB45" s="353"/>
    </row>
    <row r="46" spans="1:28" ht="15" customHeight="1">
      <c r="A46" s="4602" t="s">
        <v>162</v>
      </c>
      <c r="B46" s="1061"/>
      <c r="C46" s="719" t="s">
        <v>102</v>
      </c>
      <c r="D46" s="1730"/>
      <c r="E46" s="1717" t="str">
        <f>A46</f>
        <v>11</v>
      </c>
      <c r="F46" s="722" t="s">
        <v>163</v>
      </c>
      <c r="G46" s="466" t="str">
        <f>"Территория "&amp;E46</f>
        <v>Территория 11</v>
      </c>
      <c r="H46" s="710"/>
      <c r="I46" s="710"/>
      <c r="J46" s="707"/>
      <c r="K46" s="1537"/>
      <c r="L46" s="1537"/>
      <c r="M46" s="1537"/>
      <c r="N46" s="147"/>
      <c r="O46" s="1537"/>
      <c r="P46" s="146"/>
      <c r="Q46" s="146"/>
      <c r="R46" s="146"/>
      <c r="S46" s="146"/>
      <c r="T46" s="1836"/>
      <c r="U46" s="1836"/>
      <c r="V46" s="1836"/>
      <c r="W46" s="1836"/>
      <c r="X46" s="1836"/>
      <c r="Y46" s="1836"/>
      <c r="Z46" s="1836"/>
      <c r="AA46" s="1836"/>
      <c r="AB46" s="1836"/>
    </row>
    <row r="47" spans="1:28" ht="15" customHeight="1">
      <c r="A47" s="4602"/>
      <c r="B47" s="1061">
        <v>1</v>
      </c>
      <c r="C47" s="1061"/>
      <c r="D47" s="718"/>
      <c r="E47" s="1725" t="str">
        <f>A46&amp;"."&amp;B47</f>
        <v>11.1</v>
      </c>
      <c r="F47" s="721" t="s">
        <v>164</v>
      </c>
      <c r="G47" s="711" t="s">
        <v>165</v>
      </c>
      <c r="H47" s="711" t="s">
        <v>166</v>
      </c>
      <c r="I47" s="709" t="s">
        <v>167</v>
      </c>
      <c r="J47" s="1537"/>
      <c r="K47" s="1549"/>
      <c r="L47" s="1549"/>
      <c r="M47" s="1537" t="str">
        <f t="array" ref="M47">IF(ISERROR(MATCH(MID(N47,1,250),MID(note_ter,1,250),0)),"n","y")</f>
        <v>n</v>
      </c>
      <c r="N47" s="1549"/>
      <c r="O47" s="1537" t="str">
        <f>H47&amp;"("&amp;I47&amp;")"</f>
        <v>Кузоватовское городское поселение(73616151)</v>
      </c>
      <c r="P47" s="1061"/>
      <c r="Q47" s="1061"/>
      <c r="R47" s="354"/>
      <c r="S47" s="1061"/>
      <c r="T47" s="1061"/>
      <c r="U47" s="1061"/>
      <c r="V47" s="356"/>
      <c r="W47" s="356"/>
      <c r="X47" s="353"/>
      <c r="Y47" s="353"/>
      <c r="Z47" s="353"/>
      <c r="AA47" s="353"/>
      <c r="AB47" s="353"/>
    </row>
    <row r="48" spans="1:28" ht="15" customHeight="1">
      <c r="A48" s="4602"/>
      <c r="B48" s="1061"/>
      <c r="C48" s="347"/>
      <c r="D48" s="719"/>
      <c r="E48" s="355"/>
      <c r="F48" s="98"/>
      <c r="G48" s="350" t="s">
        <v>106</v>
      </c>
      <c r="H48" s="108"/>
      <c r="I48" s="358"/>
      <c r="J48" s="1549"/>
      <c r="K48" s="1549"/>
      <c r="L48" s="1549"/>
      <c r="M48" s="1549"/>
      <c r="N48" s="1537"/>
      <c r="O48" s="1549"/>
      <c r="P48" s="1061"/>
      <c r="Q48" s="1061"/>
      <c r="R48" s="354"/>
      <c r="S48" s="1061"/>
      <c r="T48" s="1061"/>
      <c r="U48" s="1061"/>
      <c r="V48" s="356"/>
      <c r="W48" s="356"/>
      <c r="X48" s="353"/>
      <c r="Y48" s="353"/>
      <c r="Z48" s="353"/>
      <c r="AA48" s="353"/>
      <c r="AB48" s="353"/>
    </row>
    <row r="49" spans="1:19" s="1823" customFormat="1" ht="14.25" customHeight="1">
      <c r="A49" s="676"/>
      <c r="B49" s="352"/>
      <c r="C49" s="676"/>
      <c r="D49" s="700"/>
      <c r="E49" s="712"/>
      <c r="F49" s="99"/>
      <c r="G49" s="351" t="s">
        <v>168</v>
      </c>
      <c r="H49" s="99"/>
      <c r="I49" s="100"/>
      <c r="J49" s="168"/>
      <c r="K49" s="77"/>
      <c r="L49" s="77"/>
      <c r="M49" s="77"/>
      <c r="N49" s="147" t="s">
        <v>169</v>
      </c>
      <c r="O49" s="77"/>
      <c r="P49" s="146"/>
      <c r="Q49" s="146"/>
      <c r="R49" s="146"/>
      <c r="S49" s="146"/>
    </row>
    <row r="50" spans="1:19" s="1823" customFormat="1" ht="21" customHeight="1">
      <c r="A50" s="676"/>
      <c r="B50" s="352"/>
      <c r="C50" s="676"/>
      <c r="D50" s="86"/>
      <c r="E50" s="101"/>
      <c r="F50" s="101"/>
      <c r="G50" s="101"/>
      <c r="H50" s="101"/>
      <c r="I50" s="101"/>
      <c r="J50" s="77"/>
      <c r="K50" s="77"/>
      <c r="L50" s="77"/>
      <c r="M50" s="77"/>
      <c r="N50" s="147"/>
      <c r="O50" s="77"/>
      <c r="P50" s="146"/>
      <c r="Q50" s="146"/>
      <c r="R50" s="146"/>
      <c r="S50" s="146"/>
    </row>
    <row r="51" spans="1:19" s="1823" customFormat="1" ht="14.25" customHeight="1">
      <c r="A51" s="676"/>
      <c r="B51" s="352"/>
      <c r="C51" s="676"/>
      <c r="D51" s="86"/>
      <c r="E51" s="17"/>
      <c r="F51" s="676"/>
      <c r="G51" s="17"/>
      <c r="H51" s="17"/>
      <c r="I51" s="17"/>
      <c r="J51" s="77"/>
      <c r="K51" s="77"/>
      <c r="L51" s="77"/>
      <c r="M51" s="77"/>
      <c r="N51" s="147"/>
      <c r="O51" s="77"/>
      <c r="P51" s="146"/>
      <c r="Q51" s="146"/>
      <c r="R51" s="146"/>
      <c r="S51" s="146"/>
    </row>
    <row r="52" spans="1:19" s="1823" customFormat="1" ht="0.75" customHeight="1">
      <c r="A52" s="676"/>
      <c r="B52" s="352"/>
      <c r="C52" s="676"/>
      <c r="D52" s="86"/>
      <c r="E52" s="17"/>
      <c r="F52" s="676"/>
      <c r="G52" s="17"/>
      <c r="H52" s="17"/>
      <c r="I52" s="17"/>
      <c r="J52" s="77"/>
      <c r="K52" s="77"/>
      <c r="L52" s="77"/>
      <c r="M52" s="77"/>
      <c r="N52" s="147"/>
      <c r="O52" s="77"/>
      <c r="P52" s="146"/>
      <c r="Q52" s="146"/>
      <c r="R52" s="146"/>
      <c r="S52" s="146"/>
    </row>
    <row r="53" spans="1:19" s="1839" customFormat="1" ht="10.5" customHeight="1">
      <c r="B53" s="752"/>
      <c r="D53" s="103"/>
      <c r="J53" s="77"/>
      <c r="K53" s="77"/>
      <c r="L53" s="77"/>
      <c r="M53" s="77"/>
      <c r="N53" s="147"/>
      <c r="O53" s="77"/>
      <c r="P53" s="146"/>
      <c r="Q53" s="146"/>
      <c r="R53" s="146"/>
      <c r="S53" s="146"/>
    </row>
    <row r="54" spans="1:19" s="1839" customFormat="1" ht="10.5" customHeight="1">
      <c r="B54" s="752"/>
      <c r="D54" s="103"/>
      <c r="J54" s="77"/>
      <c r="K54" s="77"/>
      <c r="L54" s="77"/>
      <c r="M54" s="77"/>
      <c r="N54" s="147"/>
      <c r="O54" s="77"/>
      <c r="P54" s="146"/>
      <c r="Q54" s="146"/>
      <c r="R54" s="146"/>
      <c r="S54" s="146"/>
    </row>
    <row r="58" spans="1:19" ht="14.25" customHeight="1">
      <c r="H58" s="1"/>
    </row>
    <row r="62" spans="1:19" ht="14.25" customHeight="1">
      <c r="J62" s="17"/>
      <c r="K62" s="17"/>
      <c r="L62" s="17"/>
    </row>
  </sheetData>
  <sheetProtection formatColumns="0" formatRows="0" insertRows="0" deleteColumns="0" deleteRows="0" sort="0" autoFilter="0"/>
  <mergeCells count="14">
    <mergeCell ref="A37:A39"/>
    <mergeCell ref="A40:A42"/>
    <mergeCell ref="A43:A45"/>
    <mergeCell ref="A46:A48"/>
    <mergeCell ref="A21:A23"/>
    <mergeCell ref="A24:A26"/>
    <mergeCell ref="A27:A30"/>
    <mergeCell ref="A31:A33"/>
    <mergeCell ref="A34:A36"/>
    <mergeCell ref="A12:A15"/>
    <mergeCell ref="E4:I4"/>
    <mergeCell ref="E8:G8"/>
    <mergeCell ref="H8:I8"/>
    <mergeCell ref="A16:A20"/>
  </mergeCells>
  <dataValidations count="11">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7">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9" tint="-0.249977111117893"/>
  </sheetPr>
  <dimension ref="A1:AE302"/>
  <sheetViews>
    <sheetView showGridLines="0" topLeftCell="D20" zoomScale="90" workbookViewId="0"/>
  </sheetViews>
  <sheetFormatPr defaultColWidth="9.140625" defaultRowHeight="11.25" customHeight="1"/>
  <cols>
    <col min="1" max="1" width="10.7109375" style="4067" hidden="1" customWidth="1"/>
    <col min="2" max="2" width="16.85546875" style="1835" hidden="1" customWidth="1"/>
    <col min="3" max="3" width="5.5703125" style="1834" hidden="1" customWidth="1"/>
    <col min="4" max="4" width="3.7109375" style="4073" customWidth="1"/>
    <col min="5" max="5" width="7.7109375" style="1924" customWidth="1"/>
    <col min="6" max="6" width="54.5703125" style="1924" customWidth="1"/>
    <col min="7" max="7" width="10.42578125" style="1924" customWidth="1"/>
    <col min="8" max="8" width="40.7109375" style="1924" hidden="1" customWidth="1"/>
    <col min="9" max="9" width="40.7109375" style="1924" customWidth="1"/>
    <col min="10" max="10" width="102.85546875" style="1924" customWidth="1"/>
    <col min="11" max="11" width="9.7109375" style="1835" customWidth="1"/>
    <col min="12" max="12" width="5.28515625" style="1834" customWidth="1"/>
    <col min="13" max="13" width="3.7109375" style="1834" customWidth="1"/>
    <col min="14" max="17" width="3.7109375" style="1835" customWidth="1"/>
    <col min="18" max="18" width="10.5703125" style="1834" customWidth="1"/>
    <col min="19" max="19" width="34.7109375" style="1835" customWidth="1"/>
    <col min="20" max="20" width="9.42578125" style="1835" customWidth="1"/>
    <col min="21" max="21" width="9.140625" style="4068"/>
    <col min="22" max="26" width="9.140625" style="1835"/>
    <col min="27" max="31" width="9.140625" style="1923"/>
  </cols>
  <sheetData>
    <row r="1" spans="1:31" ht="11.25" hidden="1" customHeight="1"/>
    <row r="2" spans="1:31" ht="23.25" hidden="1" customHeight="1">
      <c r="B2" s="4601"/>
      <c r="C2" s="1068" t="s">
        <v>680</v>
      </c>
      <c r="D2" s="1551"/>
      <c r="E2" s="472">
        <f>B2</f>
        <v>0</v>
      </c>
      <c r="F2" s="473"/>
      <c r="G2" s="1558" t="s">
        <v>681</v>
      </c>
      <c r="H2" s="1558" t="s">
        <v>681</v>
      </c>
      <c r="I2" s="1558" t="s">
        <v>681</v>
      </c>
      <c r="J2" s="208" t="s">
        <v>682</v>
      </c>
      <c r="K2" s="469"/>
    </row>
    <row r="3" spans="1:31" s="1834" customFormat="1" ht="0.75" hidden="1" customHeight="1">
      <c r="B3" s="4601"/>
      <c r="C3" s="1068"/>
      <c r="D3" s="474"/>
      <c r="E3" s="475"/>
      <c r="F3" s="476" t="s">
        <v>683</v>
      </c>
      <c r="G3" s="477"/>
      <c r="H3" s="477">
        <f>H4*H5+H7</f>
        <v>0</v>
      </c>
      <c r="I3" s="477">
        <f>I4*I5+I6</f>
        <v>0</v>
      </c>
      <c r="J3" s="478"/>
    </row>
    <row r="4" spans="1:31" ht="23.25" hidden="1" customHeight="1">
      <c r="B4" s="4601"/>
      <c r="C4" s="1068"/>
      <c r="D4" s="1551"/>
      <c r="E4" s="472" t="str">
        <f>B2&amp;".1"</f>
        <v>.1</v>
      </c>
      <c r="F4" s="479" t="s">
        <v>684</v>
      </c>
      <c r="G4" s="480"/>
      <c r="H4" s="467"/>
      <c r="I4" s="467"/>
      <c r="J4" s="208" t="s">
        <v>685</v>
      </c>
      <c r="K4" s="469"/>
    </row>
    <row r="5" spans="1:31" ht="18.75" hidden="1" customHeight="1">
      <c r="B5" s="4601"/>
      <c r="C5" s="1068"/>
      <c r="D5" s="1551"/>
      <c r="E5" s="472" t="str">
        <f>B2&amp;".2"</f>
        <v>.2</v>
      </c>
      <c r="F5" s="479" t="s">
        <v>686</v>
      </c>
      <c r="G5" s="1558" t="s">
        <v>687</v>
      </c>
      <c r="H5" s="467"/>
      <c r="I5" s="467"/>
      <c r="J5" s="208"/>
      <c r="K5" s="469"/>
    </row>
    <row r="6" spans="1:31" ht="18.75" hidden="1" customHeight="1">
      <c r="B6" s="4601"/>
      <c r="C6" s="1068"/>
      <c r="D6" s="1551"/>
      <c r="E6" s="472" t="str">
        <f>B2&amp;".3"</f>
        <v>.3</v>
      </c>
      <c r="F6" s="479" t="s">
        <v>688</v>
      </c>
      <c r="G6" s="1558" t="s">
        <v>687</v>
      </c>
      <c r="H6" s="467"/>
      <c r="I6" s="467"/>
      <c r="J6" s="208"/>
      <c r="K6" s="469"/>
    </row>
    <row r="7" spans="1:31" ht="18.75" hidden="1" customHeight="1">
      <c r="B7" s="4601"/>
      <c r="C7" s="1068"/>
      <c r="D7" s="1551"/>
      <c r="E7" s="472" t="str">
        <f>B2&amp;".4"</f>
        <v>.4</v>
      </c>
      <c r="F7" s="479" t="s">
        <v>689</v>
      </c>
      <c r="G7" s="1558" t="s">
        <v>681</v>
      </c>
      <c r="H7" s="481"/>
      <c r="I7" s="481"/>
      <c r="J7" s="208"/>
      <c r="K7" s="469"/>
    </row>
    <row r="8" spans="1:31" s="1835" customFormat="1" ht="11.25" hidden="1" customHeight="1">
      <c r="A8" s="896"/>
      <c r="C8" s="1549"/>
      <c r="D8" s="463"/>
      <c r="H8" s="1061">
        <v>4</v>
      </c>
      <c r="I8" s="1061">
        <v>4</v>
      </c>
      <c r="L8" s="1549"/>
      <c r="M8" s="1549"/>
      <c r="R8" s="1549"/>
    </row>
    <row r="9" spans="1:31" s="1835" customFormat="1" ht="22.5" hidden="1" customHeight="1">
      <c r="A9" s="896"/>
      <c r="C9" s="1549"/>
      <c r="D9" s="464"/>
      <c r="E9" s="1560"/>
      <c r="F9" s="466"/>
      <c r="G9" s="1558" t="s">
        <v>687</v>
      </c>
      <c r="H9" s="467"/>
      <c r="I9" s="467"/>
      <c r="J9" s="468" t="s">
        <v>690</v>
      </c>
      <c r="K9" s="469"/>
      <c r="L9" s="1549"/>
      <c r="M9" s="1549"/>
      <c r="R9" s="1549"/>
      <c r="U9" s="470"/>
      <c r="AA9" s="1545"/>
      <c r="AB9" s="1545"/>
      <c r="AC9" s="1545"/>
      <c r="AD9" s="1545"/>
      <c r="AE9" s="1545"/>
    </row>
    <row r="10" spans="1:31" ht="11.25" hidden="1" customHeight="1"/>
    <row r="11" spans="1:31" ht="18.75" hidden="1" customHeight="1">
      <c r="D11" s="1551"/>
      <c r="E11" s="472"/>
      <c r="F11" s="466"/>
      <c r="G11" s="1558" t="s">
        <v>691</v>
      </c>
      <c r="H11" s="467"/>
      <c r="I11" s="467"/>
      <c r="J11" s="208" t="s">
        <v>692</v>
      </c>
      <c r="K11" s="469"/>
    </row>
    <row r="12" spans="1:31" ht="11.25" hidden="1" customHeight="1"/>
    <row r="13" spans="1:31" ht="22.5" hidden="1" customHeight="1">
      <c r="D13" s="1551"/>
      <c r="E13" s="472"/>
      <c r="F13" s="466"/>
      <c r="G13" s="879" t="s">
        <v>693</v>
      </c>
      <c r="H13" s="471"/>
      <c r="I13" s="471"/>
      <c r="J13" s="664" t="s">
        <v>694</v>
      </c>
      <c r="K13" s="469"/>
    </row>
    <row r="14" spans="1:31" ht="11.25" hidden="1" customHeight="1"/>
    <row r="15" spans="1:31" ht="22.5" hidden="1" customHeight="1">
      <c r="D15" s="1551"/>
      <c r="E15" s="472"/>
      <c r="F15" s="466"/>
      <c r="G15" s="1558" t="s">
        <v>695</v>
      </c>
      <c r="H15" s="471"/>
      <c r="I15" s="471"/>
      <c r="J15" s="208" t="s">
        <v>696</v>
      </c>
      <c r="K15" s="469"/>
    </row>
    <row r="16" spans="1:31" ht="11.25" hidden="1" customHeight="1"/>
    <row r="17" spans="1:26" ht="22.5" hidden="1" customHeight="1">
      <c r="D17" s="1551"/>
      <c r="E17" s="472"/>
      <c r="F17" s="466"/>
      <c r="G17" s="1558" t="s">
        <v>697</v>
      </c>
      <c r="H17" s="471"/>
      <c r="I17" s="471"/>
      <c r="J17" s="208" t="s">
        <v>698</v>
      </c>
      <c r="K17" s="469"/>
    </row>
    <row r="18" spans="1:26" ht="11.25" hidden="1" customHeight="1"/>
    <row r="19" spans="1:26" s="1923" customFormat="1" ht="11.25" hidden="1" customHeight="1">
      <c r="A19" s="896"/>
      <c r="B19" s="1061"/>
      <c r="C19" s="1549"/>
      <c r="D19" s="290"/>
      <c r="J19" s="1545">
        <v>4</v>
      </c>
      <c r="K19" s="1061"/>
      <c r="L19" s="1549"/>
      <c r="M19" s="1549"/>
      <c r="N19" s="1061"/>
      <c r="O19" s="1061"/>
      <c r="P19" s="1061"/>
      <c r="Q19" s="1061"/>
      <c r="R19" s="1549"/>
      <c r="S19" s="1061"/>
      <c r="T19" s="1061"/>
      <c r="U19" s="470"/>
      <c r="V19" s="1061"/>
      <c r="W19" s="1061"/>
      <c r="X19" s="1061"/>
      <c r="Y19" s="1061"/>
      <c r="Z19" s="1061"/>
    </row>
    <row r="21" spans="1:26" ht="24" customHeight="1">
      <c r="E21" s="474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4743"/>
      <c r="G21" s="4743"/>
      <c r="H21" s="4743"/>
      <c r="I21" s="4743"/>
      <c r="J21" s="482"/>
    </row>
    <row r="22" spans="1:26" ht="24" customHeight="1">
      <c r="E22" s="4690" t="str">
        <f>IF(org=0,"Не определено",org)</f>
        <v>ОГКП "Ульяновский областной водоканал"</v>
      </c>
      <c r="F22" s="4690"/>
      <c r="G22" s="4690"/>
      <c r="H22" s="4690"/>
      <c r="I22" s="4690"/>
    </row>
    <row r="23" spans="1:26" ht="11.25" customHeight="1">
      <c r="E23" s="1038"/>
      <c r="F23" s="1038"/>
      <c r="G23" s="1038"/>
      <c r="H23" s="1038"/>
      <c r="I23" s="1038"/>
    </row>
    <row r="24" spans="1:26" s="1834" customFormat="1" ht="0.75" customHeight="1">
      <c r="A24" s="1068"/>
      <c r="D24" s="1554"/>
      <c r="H24" s="803"/>
      <c r="I24" s="803" t="s">
        <v>179</v>
      </c>
    </row>
    <row r="25" spans="1:26" ht="11.25" customHeight="1">
      <c r="E25" s="631"/>
      <c r="F25" s="4834" t="s">
        <v>170</v>
      </c>
      <c r="G25" s="4835"/>
      <c r="H25" s="1564" t="str">
        <f>IF(H24="","",INDEX(DIFFERENTIATION_UNMERGE_VD,MATCH(H24,DIFFERENTIATION_ID_DIFF,0)))</f>
        <v/>
      </c>
      <c r="I25" s="1564">
        <f>IF(I24="","",INDEX(DIFFERENTIATION_UNMERGE_VD,MATCH(I24,DIFFERENTIATION_ID_DIFF,0)))</f>
        <v>0</v>
      </c>
      <c r="J25" s="4627"/>
    </row>
    <row r="26" spans="1:26" ht="11.25" customHeight="1">
      <c r="E26" s="631"/>
      <c r="F26" s="4834" t="s">
        <v>699</v>
      </c>
      <c r="G26" s="4835"/>
      <c r="H26" s="1564" t="str">
        <f>IF(H24="","",INDEX(DIFFERENTIATION_UNMERGE_AREA,MATCH(H24,DIFFERENTIATION_ID_DIFF,0)))</f>
        <v/>
      </c>
      <c r="I26" s="1564" t="str">
        <f>IF(I24="","",INDEX(DIFFERENTIATION_UNMERGE_AREA,MATCH(I24,DIFFERENTIATION_ID_DIFF,0)))</f>
        <v/>
      </c>
      <c r="J26" s="4627"/>
    </row>
    <row r="27" spans="1:26" ht="11.25" customHeight="1">
      <c r="E27" s="631"/>
      <c r="F27" s="4834" t="s">
        <v>700</v>
      </c>
      <c r="G27" s="4835"/>
      <c r="H27" s="1564" t="str">
        <f>IF(H24="","",INDEX(DIFFERENTIATION_UNMERGE_SYSTEM,MATCH(H24,DIFFERENTIATION_ID_DIFF,0)))</f>
        <v/>
      </c>
      <c r="I27" s="1564" t="str">
        <f>IF(I24="","",INDEX(DIFFERENTIATION_UNMERGE_SYSTEM,MATCH(I24,DIFFERENTIATION_ID_DIFF,0)))</f>
        <v>без дифференциации</v>
      </c>
      <c r="J27" s="4627"/>
    </row>
    <row r="28" spans="1:26" ht="11.25" customHeight="1">
      <c r="E28" s="4836" t="s">
        <v>439</v>
      </c>
      <c r="F28" s="4837"/>
      <c r="G28" s="4837"/>
      <c r="H28" s="1557"/>
      <c r="I28" s="1557"/>
      <c r="J28" s="4627"/>
    </row>
    <row r="29" spans="1:26" ht="22.5" customHeight="1">
      <c r="E29" s="1558" t="s">
        <v>86</v>
      </c>
      <c r="F29" s="1565" t="s">
        <v>441</v>
      </c>
      <c r="G29" s="1565" t="s">
        <v>701</v>
      </c>
      <c r="H29" s="1565" t="s">
        <v>442</v>
      </c>
      <c r="I29" s="1565" t="s">
        <v>442</v>
      </c>
      <c r="J29" s="4627"/>
    </row>
    <row r="30" spans="1:26" ht="18.75" customHeight="1">
      <c r="D30" s="1551"/>
      <c r="E30" s="472">
        <f>FHD_NUM_P_1</f>
        <v>1</v>
      </c>
      <c r="F30" s="1791" t="str">
        <f>FHD_P_1</f>
        <v>Выручка от регулируемых видов деятельности в сфере водоотведения</v>
      </c>
      <c r="G30" s="1789" t="s">
        <v>687</v>
      </c>
      <c r="H30" s="483"/>
      <c r="I30" s="483"/>
      <c r="J30" s="208" t="str">
        <f>FHD_NOTE_P_1</f>
        <v>Указывается выручка с распределением по видам деятельности.</v>
      </c>
      <c r="K30" s="469"/>
    </row>
    <row r="31" spans="1:26" ht="11.25" customHeight="1">
      <c r="D31" s="1551"/>
      <c r="E31" s="472">
        <f>FHD_NUM_P_2</f>
        <v>2</v>
      </c>
      <c r="F31" s="1791" t="str">
        <f>FHD_P_2</f>
        <v>Себестоимость производимых товаров (оказываемых услуг) по регулируемым видам деятельности в сфере водоотведения, включая:</v>
      </c>
      <c r="G31" s="1789" t="s">
        <v>687</v>
      </c>
      <c r="H31" s="484">
        <f>SUMIF($K33:$K71,$K31,H33:H71)</f>
        <v>0</v>
      </c>
      <c r="I31" s="484">
        <f>SUMIF($K33:$K71,$K31,I33:I71)</f>
        <v>0</v>
      </c>
      <c r="J31" s="208" t="str">
        <f>FHD_NOTE_P_2</f>
        <v>Указывается суммарная себестоимость производимых товаров.</v>
      </c>
      <c r="K31" s="1549" t="s">
        <v>702</v>
      </c>
    </row>
    <row r="32" spans="1:26" ht="11.25" customHeight="1">
      <c r="D32" s="1551"/>
      <c r="E32" s="472" t="str">
        <f>FHD_NUM_P_3</f>
        <v>2.1</v>
      </c>
      <c r="F32" s="1435" t="str">
        <f>FHD_P_3</f>
        <v>Расходы на оплату услуг по приему, транспортировке и очистке сточных вод другими организациями</v>
      </c>
      <c r="G32" s="1789" t="s">
        <v>687</v>
      </c>
      <c r="H32" s="483"/>
      <c r="I32" s="483"/>
      <c r="J32" s="208" t="str">
        <f>FHD_NOTE_P_3</f>
        <v/>
      </c>
      <c r="K32" s="1549" t="str">
        <f t="shared" ref="K32:K70" si="0">IF((LEN(E32)-LEN(SUBSTITUTE(E32,".","")))/LEN(".")=1,"p","")</f>
        <v>p</v>
      </c>
    </row>
    <row r="33" spans="1:31" ht="11.25" hidden="1" customHeight="1">
      <c r="A33" s="4838" t="s">
        <v>703</v>
      </c>
      <c r="D33" s="1551"/>
      <c r="E33" s="472" t="str">
        <f>FHD_NUM_P_4</f>
        <v/>
      </c>
      <c r="F33" s="1435" t="str">
        <f>FHD_P_4</f>
        <v/>
      </c>
      <c r="G33" s="1789" t="s">
        <v>687</v>
      </c>
      <c r="H33" s="484">
        <f>SUMIF($F34:$F40,$F3,H34:H40)</f>
        <v>0</v>
      </c>
      <c r="I33" s="484">
        <f>SUMIF($F34:$F40,$F3,I34:I40)</f>
        <v>0</v>
      </c>
      <c r="J33" s="208" t="str">
        <f>FHD_NOTE_P_4</f>
        <v/>
      </c>
      <c r="K33" s="1549" t="str">
        <f t="shared" si="0"/>
        <v/>
      </c>
    </row>
    <row r="34" spans="1:31" s="4069" customFormat="1" ht="0.75" hidden="1" customHeight="1">
      <c r="A34" s="4838"/>
      <c r="B34" s="4839" t="str">
        <f>E33&amp;".0"</f>
        <v>.0</v>
      </c>
      <c r="C34" s="1068"/>
      <c r="D34" s="486"/>
      <c r="E34" s="487"/>
      <c r="F34" s="488"/>
      <c r="G34" s="489"/>
      <c r="H34" s="424"/>
      <c r="I34" s="424"/>
      <c r="J34" s="490"/>
      <c r="K34" s="1549" t="str">
        <f t="shared" si="0"/>
        <v/>
      </c>
      <c r="L34" s="1549"/>
      <c r="M34" s="1549"/>
      <c r="N34" s="1549"/>
      <c r="O34" s="1549"/>
      <c r="P34" s="1549"/>
      <c r="Q34" s="1549"/>
      <c r="R34" s="1549"/>
      <c r="S34" s="1549"/>
      <c r="T34" s="1549"/>
      <c r="U34" s="491"/>
      <c r="V34" s="1549"/>
      <c r="W34" s="1549"/>
      <c r="X34" s="1549"/>
      <c r="Y34" s="1549"/>
      <c r="Z34" s="1549"/>
      <c r="AA34" s="492"/>
      <c r="AB34" s="492"/>
      <c r="AC34" s="492"/>
      <c r="AD34" s="492"/>
      <c r="AE34" s="492"/>
    </row>
    <row r="35" spans="1:31" s="4069" customFormat="1" ht="0.75" hidden="1" customHeight="1">
      <c r="A35" s="4838"/>
      <c r="B35" s="4839"/>
      <c r="C35" s="1068"/>
      <c r="D35" s="486"/>
      <c r="E35" s="493"/>
      <c r="F35" s="494"/>
      <c r="G35" s="489"/>
      <c r="H35" s="495"/>
      <c r="I35" s="495"/>
      <c r="J35" s="490"/>
      <c r="K35" s="1549" t="str">
        <f t="shared" si="0"/>
        <v/>
      </c>
      <c r="L35" s="1549"/>
      <c r="M35" s="1549"/>
      <c r="N35" s="1549"/>
      <c r="O35" s="1549"/>
      <c r="P35" s="1549"/>
      <c r="Q35" s="1549"/>
      <c r="R35" s="1549"/>
      <c r="S35" s="1549"/>
      <c r="T35" s="1549"/>
      <c r="U35" s="491"/>
      <c r="V35" s="1549"/>
      <c r="W35" s="1549"/>
      <c r="X35" s="1549"/>
      <c r="Y35" s="1549"/>
      <c r="Z35" s="1549"/>
      <c r="AA35" s="492"/>
      <c r="AB35" s="492"/>
      <c r="AC35" s="492"/>
      <c r="AD35" s="492"/>
      <c r="AE35" s="492"/>
    </row>
    <row r="36" spans="1:31" s="4069" customFormat="1" ht="0.75" hidden="1" customHeight="1">
      <c r="A36" s="4838"/>
      <c r="B36" s="4839"/>
      <c r="C36" s="1068"/>
      <c r="D36" s="486"/>
      <c r="E36" s="493"/>
      <c r="F36" s="494"/>
      <c r="G36" s="489"/>
      <c r="H36" s="495"/>
      <c r="I36" s="495"/>
      <c r="J36" s="490"/>
      <c r="K36" s="1549" t="str">
        <f t="shared" si="0"/>
        <v/>
      </c>
      <c r="L36" s="1549"/>
      <c r="M36" s="1549"/>
      <c r="N36" s="1549"/>
      <c r="O36" s="1549"/>
      <c r="P36" s="1549"/>
      <c r="Q36" s="1549"/>
      <c r="R36" s="1549"/>
      <c r="S36" s="1549"/>
      <c r="T36" s="1549"/>
      <c r="U36" s="491"/>
      <c r="V36" s="1549"/>
      <c r="W36" s="1549"/>
      <c r="X36" s="1549"/>
      <c r="Y36" s="1549"/>
      <c r="Z36" s="1549"/>
      <c r="AA36" s="492"/>
      <c r="AB36" s="492"/>
      <c r="AC36" s="492"/>
      <c r="AD36" s="492"/>
      <c r="AE36" s="492"/>
    </row>
    <row r="37" spans="1:31" s="4069" customFormat="1" ht="0.75" hidden="1" customHeight="1">
      <c r="A37" s="4838"/>
      <c r="B37" s="4839"/>
      <c r="C37" s="1068"/>
      <c r="D37" s="486"/>
      <c r="E37" s="493"/>
      <c r="F37" s="494"/>
      <c r="G37" s="489"/>
      <c r="H37" s="495"/>
      <c r="I37" s="495"/>
      <c r="J37" s="490"/>
      <c r="K37" s="1549" t="str">
        <f t="shared" si="0"/>
        <v/>
      </c>
      <c r="L37" s="1549"/>
      <c r="M37" s="1549"/>
      <c r="N37" s="1549"/>
      <c r="O37" s="1549"/>
      <c r="P37" s="1549"/>
      <c r="Q37" s="1549"/>
      <c r="R37" s="1549"/>
      <c r="S37" s="1549"/>
      <c r="T37" s="1549"/>
      <c r="U37" s="491"/>
      <c r="V37" s="1549"/>
      <c r="W37" s="1549"/>
      <c r="X37" s="1549"/>
      <c r="Y37" s="1549"/>
      <c r="Z37" s="1549"/>
      <c r="AA37" s="492"/>
      <c r="AB37" s="492"/>
      <c r="AC37" s="492"/>
      <c r="AD37" s="492"/>
      <c r="AE37" s="492"/>
    </row>
    <row r="38" spans="1:31" s="4069" customFormat="1" ht="0.75" hidden="1" customHeight="1">
      <c r="A38" s="4838"/>
      <c r="B38" s="4839"/>
      <c r="C38" s="1068"/>
      <c r="D38" s="486"/>
      <c r="E38" s="493"/>
      <c r="F38" s="494"/>
      <c r="G38" s="489"/>
      <c r="H38" s="495"/>
      <c r="I38" s="495"/>
      <c r="J38" s="490"/>
      <c r="K38" s="1549" t="str">
        <f t="shared" si="0"/>
        <v/>
      </c>
      <c r="L38" s="1549"/>
      <c r="M38" s="1549"/>
      <c r="N38" s="1549"/>
      <c r="O38" s="1549"/>
      <c r="P38" s="1549"/>
      <c r="Q38" s="1549"/>
      <c r="R38" s="1549"/>
      <c r="S38" s="1549"/>
      <c r="T38" s="1549"/>
      <c r="U38" s="491"/>
      <c r="V38" s="1549"/>
      <c r="W38" s="1549"/>
      <c r="X38" s="1549"/>
      <c r="Y38" s="1549"/>
      <c r="Z38" s="1549"/>
      <c r="AA38" s="492"/>
      <c r="AB38" s="492"/>
      <c r="AC38" s="492"/>
      <c r="AD38" s="492"/>
      <c r="AE38" s="492"/>
    </row>
    <row r="39" spans="1:31" s="4069" customFormat="1" ht="0.75" hidden="1" customHeight="1">
      <c r="A39" s="4838"/>
      <c r="B39" s="4839"/>
      <c r="C39" s="1068"/>
      <c r="D39" s="486"/>
      <c r="E39" s="493"/>
      <c r="F39" s="494"/>
      <c r="G39" s="489"/>
      <c r="H39" s="424"/>
      <c r="I39" s="424"/>
      <c r="J39" s="490"/>
      <c r="K39" s="1549" t="str">
        <f t="shared" si="0"/>
        <v/>
      </c>
      <c r="L39" s="1549"/>
      <c r="M39" s="1549"/>
      <c r="N39" s="1549"/>
      <c r="O39" s="1549"/>
      <c r="P39" s="1549"/>
      <c r="Q39" s="1549"/>
      <c r="R39" s="1549"/>
      <c r="S39" s="1549"/>
      <c r="T39" s="1549"/>
      <c r="U39" s="491"/>
      <c r="V39" s="1549"/>
      <c r="W39" s="1549"/>
      <c r="X39" s="1549"/>
      <c r="Y39" s="1549"/>
      <c r="Z39" s="1549"/>
      <c r="AA39" s="492"/>
      <c r="AB39" s="492"/>
      <c r="AC39" s="492"/>
      <c r="AD39" s="492"/>
      <c r="AE39" s="492"/>
    </row>
    <row r="40" spans="1:31" s="1835" customFormat="1" ht="15" hidden="1" customHeight="1">
      <c r="A40" s="4838"/>
      <c r="C40" s="1549"/>
      <c r="D40" s="1546"/>
      <c r="E40" s="496"/>
      <c r="F40" s="497" t="s">
        <v>704</v>
      </c>
      <c r="G40" s="498"/>
      <c r="H40" s="499"/>
      <c r="I40" s="499"/>
      <c r="J40" s="220"/>
      <c r="K40" s="1549" t="str">
        <f t="shared" si="0"/>
        <v/>
      </c>
      <c r="L40" s="1549"/>
      <c r="M40" s="1549"/>
      <c r="R40" s="1549"/>
      <c r="U40" s="470"/>
      <c r="AA40" s="1545"/>
      <c r="AB40" s="1545"/>
      <c r="AC40" s="1545"/>
      <c r="AD40" s="1545"/>
      <c r="AE40" s="1545"/>
    </row>
    <row r="41" spans="1:31" ht="11.25" hidden="1" customHeight="1">
      <c r="A41" s="4838" t="s">
        <v>705</v>
      </c>
      <c r="D41" s="1551"/>
      <c r="E41" s="472" t="str">
        <f>FHD_NUM_P_5</f>
        <v/>
      </c>
      <c r="F41" s="1435" t="str">
        <f>FHD_P_5</f>
        <v/>
      </c>
      <c r="G41" s="1789" t="s">
        <v>687</v>
      </c>
      <c r="H41" s="483"/>
      <c r="I41" s="483"/>
      <c r="J41" s="208" t="str">
        <f>FHD_NOTE_P_5</f>
        <v/>
      </c>
      <c r="K41" s="1549" t="str">
        <f t="shared" si="0"/>
        <v/>
      </c>
    </row>
    <row r="42" spans="1:31" ht="11.25" hidden="1" customHeight="1">
      <c r="A42" s="4838"/>
      <c r="D42" s="1551"/>
      <c r="E42" s="472" t="str">
        <f>FHD_NUM_P_6</f>
        <v/>
      </c>
      <c r="F42" s="1435" t="str">
        <f>FHD_P_6</f>
        <v/>
      </c>
      <c r="G42" s="1789" t="s">
        <v>687</v>
      </c>
      <c r="H42" s="483"/>
      <c r="I42" s="483"/>
      <c r="J42" s="208" t="str">
        <f>FHD_NOTE_P_6</f>
        <v/>
      </c>
      <c r="K42" s="1549" t="str">
        <f t="shared" si="0"/>
        <v/>
      </c>
    </row>
    <row r="43" spans="1:31" ht="11.25" hidden="1" customHeight="1">
      <c r="A43" s="4838"/>
      <c r="D43" s="1551"/>
      <c r="E43" s="472" t="str">
        <f>FHD_NUM_P_7</f>
        <v/>
      </c>
      <c r="F43" s="1435" t="str">
        <f>FHD_P_7</f>
        <v/>
      </c>
      <c r="G43" s="1789" t="s">
        <v>687</v>
      </c>
      <c r="H43" s="483"/>
      <c r="I43" s="483"/>
      <c r="J43" s="208" t="str">
        <f>FHD_NOTE_P_7</f>
        <v/>
      </c>
      <c r="K43" s="1549" t="str">
        <f t="shared" si="0"/>
        <v/>
      </c>
    </row>
    <row r="44" spans="1:31" ht="11.25" customHeight="1">
      <c r="D44" s="1551"/>
      <c r="E44" s="472" t="str">
        <f>FHD_NUM_P_8</f>
        <v>2.2</v>
      </c>
      <c r="F44" s="1435" t="str">
        <f>FHD_P_8</f>
        <v>Расходы на приобретаемую электрическую энергию (мощность), используемую в технологическом процессе</v>
      </c>
      <c r="G44" s="1789" t="s">
        <v>687</v>
      </c>
      <c r="H44" s="483"/>
      <c r="I44" s="483"/>
      <c r="J44" s="208" t="str">
        <f>FHD_NOTE_P_8</f>
        <v/>
      </c>
      <c r="K44" s="1549" t="str">
        <f t="shared" si="0"/>
        <v>p</v>
      </c>
    </row>
    <row r="45" spans="1:31" ht="11.25" customHeight="1">
      <c r="D45" s="1551"/>
      <c r="E45" s="472" t="str">
        <f>FHD_NUM_P_9</f>
        <v>2.2.1</v>
      </c>
      <c r="F45" s="1562" t="str">
        <f>FHD_P_9</f>
        <v>Средневзвешенная стоимость 1 кВт.ч (с учетом мощности)</v>
      </c>
      <c r="G45" s="1789" t="s">
        <v>706</v>
      </c>
      <c r="H45" s="483"/>
      <c r="I45" s="483"/>
      <c r="J45" s="208" t="str">
        <f>FHD_NOTE_P_9</f>
        <v/>
      </c>
      <c r="K45" s="1549" t="str">
        <f t="shared" si="0"/>
        <v/>
      </c>
    </row>
    <row r="46" spans="1:31" s="1835" customFormat="1" ht="11.25" customHeight="1">
      <c r="A46" s="896"/>
      <c r="C46" s="1549"/>
      <c r="D46" s="500"/>
      <c r="E46" s="472" t="str">
        <f>FHD_NUM_P_10</f>
        <v>2.2.2</v>
      </c>
      <c r="F46" s="1562" t="str">
        <f>FHD_P_10</f>
        <v>Объём приобретения электрической энергии</v>
      </c>
      <c r="G46" s="1789" t="s">
        <v>707</v>
      </c>
      <c r="H46" s="483"/>
      <c r="I46" s="483"/>
      <c r="J46" s="208" t="str">
        <f>FHD_NOTE_P_10</f>
        <v/>
      </c>
      <c r="K46" s="1549" t="str">
        <f t="shared" si="0"/>
        <v/>
      </c>
      <c r="L46" s="1549"/>
      <c r="M46" s="1549"/>
      <c r="R46" s="1549"/>
      <c r="U46" s="470"/>
      <c r="AA46" s="1545"/>
      <c r="AB46" s="1545"/>
      <c r="AC46" s="1545"/>
      <c r="AD46" s="1545"/>
      <c r="AE46" s="1545"/>
    </row>
    <row r="47" spans="1:31" s="1835" customFormat="1" ht="11.25" hidden="1" customHeight="1">
      <c r="A47" s="898" t="s">
        <v>708</v>
      </c>
      <c r="C47" s="1549"/>
      <c r="D47" s="501"/>
      <c r="E47" s="472" t="str">
        <f>FHD_NUM_P_11</f>
        <v/>
      </c>
      <c r="F47" s="1435" t="str">
        <f>FHD_P_11</f>
        <v/>
      </c>
      <c r="G47" s="1789" t="s">
        <v>687</v>
      </c>
      <c r="H47" s="483"/>
      <c r="I47" s="483"/>
      <c r="J47" s="208" t="str">
        <f>FHD_NOTE_P_11</f>
        <v/>
      </c>
      <c r="K47" s="1549" t="str">
        <f t="shared" si="0"/>
        <v/>
      </c>
      <c r="L47" s="1549"/>
      <c r="M47" s="1549"/>
      <c r="R47" s="1549"/>
      <c r="U47" s="470"/>
      <c r="AA47" s="1545"/>
      <c r="AB47" s="1545"/>
      <c r="AC47" s="1545"/>
      <c r="AD47" s="1545"/>
      <c r="AE47" s="1545"/>
    </row>
    <row r="48" spans="1:31" s="1835" customFormat="1" ht="18" customHeight="1">
      <c r="A48" s="898" t="s">
        <v>709</v>
      </c>
      <c r="C48" s="1549"/>
      <c r="D48" s="1551"/>
      <c r="E48" s="472" t="str">
        <f>FHD_NUM_P_12</f>
        <v>2.3</v>
      </c>
      <c r="F48" s="1435" t="str">
        <f>FHD_P_12</f>
        <v>Расходы на химические реагенты, используемые в технологическом процессе</v>
      </c>
      <c r="G48" s="1789" t="s">
        <v>687</v>
      </c>
      <c r="H48" s="503"/>
      <c r="I48" s="503"/>
      <c r="J48" s="208" t="str">
        <f>FHD_NOTE_P_12</f>
        <v/>
      </c>
      <c r="K48" s="1549" t="str">
        <f t="shared" si="0"/>
        <v>p</v>
      </c>
      <c r="L48" s="1549"/>
      <c r="M48" s="1549"/>
      <c r="R48" s="1549"/>
      <c r="U48" s="470"/>
      <c r="AA48" s="1545"/>
      <c r="AB48" s="1545"/>
      <c r="AC48" s="1545"/>
      <c r="AD48" s="1545"/>
      <c r="AE48" s="1545"/>
    </row>
    <row r="49" spans="1:31" s="1950" customFormat="1" ht="11.25" customHeight="1">
      <c r="A49" s="897"/>
      <c r="C49" s="650"/>
      <c r="D49" s="595"/>
      <c r="E49" s="472" t="str">
        <f>FHD_NUM_P_13</f>
        <v>2.4</v>
      </c>
      <c r="F49" s="14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687</v>
      </c>
      <c r="H49" s="483"/>
      <c r="I49" s="483"/>
      <c r="J49" s="208" t="str">
        <f>FHD_NOTE_P_13</f>
        <v>Указывается общая сумма расходов на оплату труда и отчислений на социальные нужды основного производственного персонала.</v>
      </c>
      <c r="K49" s="1549" t="str">
        <f t="shared" si="0"/>
        <v>p</v>
      </c>
      <c r="L49" s="650"/>
      <c r="M49" s="650"/>
      <c r="R49" s="650"/>
      <c r="U49" s="651"/>
      <c r="AA49" s="652"/>
      <c r="AB49" s="652"/>
      <c r="AC49" s="652"/>
      <c r="AD49" s="652"/>
      <c r="AE49" s="652"/>
    </row>
    <row r="50" spans="1:31" s="1950" customFormat="1" ht="11.25" customHeight="1">
      <c r="A50" s="897"/>
      <c r="C50" s="650"/>
      <c r="D50" s="595"/>
      <c r="E50" s="472" t="str">
        <f>FHD_NUM_P_14</f>
        <v>2.4.1</v>
      </c>
      <c r="F50" s="1562" t="str">
        <f>FHD_P_14</f>
        <v>Расходы на оплату труда основного производственного персонала</v>
      </c>
      <c r="G50" s="1789" t="s">
        <v>687</v>
      </c>
      <c r="H50" s="483"/>
      <c r="I50" s="483"/>
      <c r="J50" s="208" t="str">
        <f>FHD_NOTE_P_14</f>
        <v/>
      </c>
      <c r="K50" s="1549" t="str">
        <f t="shared" si="0"/>
        <v/>
      </c>
      <c r="L50" s="650"/>
      <c r="M50" s="650"/>
      <c r="R50" s="650"/>
      <c r="U50" s="651"/>
      <c r="AA50" s="652"/>
      <c r="AB50" s="652"/>
      <c r="AC50" s="652"/>
      <c r="AD50" s="652"/>
      <c r="AE50" s="652"/>
    </row>
    <row r="51" spans="1:31" s="1950" customFormat="1" ht="11.25" customHeight="1">
      <c r="A51" s="897"/>
      <c r="C51" s="650"/>
      <c r="D51" s="595"/>
      <c r="E51" s="472" t="str">
        <f>FHD_NUM_P_15</f>
        <v>2.4.2</v>
      </c>
      <c r="F51" s="1562"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687</v>
      </c>
      <c r="H51" s="483"/>
      <c r="I51" s="483"/>
      <c r="J51" s="208" t="str">
        <f>FHD_NOTE_P_15</f>
        <v/>
      </c>
      <c r="K51" s="1549" t="str">
        <f t="shared" si="0"/>
        <v/>
      </c>
      <c r="L51" s="650"/>
      <c r="M51" s="650"/>
      <c r="R51" s="650"/>
      <c r="U51" s="651"/>
      <c r="AA51" s="652"/>
      <c r="AB51" s="652"/>
      <c r="AC51" s="652"/>
      <c r="AD51" s="652"/>
      <c r="AE51" s="652"/>
    </row>
    <row r="52" spans="1:31" s="1835" customFormat="1" ht="11.25" customHeight="1">
      <c r="A52" s="896"/>
      <c r="C52" s="1549"/>
      <c r="D52" s="1551"/>
      <c r="E52" s="472" t="str">
        <f>FHD_NUM_P_16</f>
        <v>2.5</v>
      </c>
      <c r="F52" s="14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9" t="s">
        <v>687</v>
      </c>
      <c r="H52" s="483"/>
      <c r="I52" s="483"/>
      <c r="J52" s="208" t="str">
        <f>FHD_NOTE_P_16</f>
        <v>Указывается общая сумма расходов на оплату труда и отчислений на социальные нужды административно-управленческого персонала.</v>
      </c>
      <c r="K52" s="1549" t="str">
        <f t="shared" si="0"/>
        <v>p</v>
      </c>
      <c r="L52" s="1549"/>
      <c r="M52" s="1554"/>
      <c r="N52" s="463"/>
      <c r="O52" s="463"/>
      <c r="R52" s="1549"/>
      <c r="U52" s="470"/>
      <c r="AA52" s="1545"/>
      <c r="AB52" s="1545"/>
      <c r="AC52" s="1545"/>
      <c r="AD52" s="1545"/>
      <c r="AE52" s="1545"/>
    </row>
    <row r="53" spans="1:31" s="1835" customFormat="1" ht="11.25" customHeight="1">
      <c r="A53" s="896"/>
      <c r="C53" s="1549"/>
      <c r="D53" s="1551"/>
      <c r="E53" s="472" t="str">
        <f>FHD_NUM_P_17</f>
        <v>2.5.1</v>
      </c>
      <c r="F53" s="1562" t="str">
        <f>FHD_P_17</f>
        <v>Расходы на оплату труда административно-управленческого персонала, в том числе:</v>
      </c>
      <c r="G53" s="1789" t="s">
        <v>687</v>
      </c>
      <c r="H53" s="483"/>
      <c r="I53" s="483"/>
      <c r="J53" s="208" t="str">
        <f>FHD_NOTE_P_17</f>
        <v/>
      </c>
      <c r="K53" s="1549" t="str">
        <f t="shared" si="0"/>
        <v/>
      </c>
      <c r="L53" s="1549"/>
      <c r="M53" s="1554"/>
      <c r="N53" s="463"/>
      <c r="O53" s="463"/>
      <c r="R53" s="1549"/>
      <c r="U53" s="470"/>
      <c r="AA53" s="1545"/>
      <c r="AB53" s="1545"/>
      <c r="AC53" s="1545"/>
      <c r="AD53" s="1545"/>
      <c r="AE53" s="1545"/>
    </row>
    <row r="54" spans="1:31" s="1835" customFormat="1" ht="11.25" customHeight="1">
      <c r="A54" s="896"/>
      <c r="C54" s="1549"/>
      <c r="D54" s="1551"/>
      <c r="E54" s="472" t="str">
        <f>FHD_NUM_P_18</f>
        <v>2.5.2</v>
      </c>
      <c r="F54" s="15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687</v>
      </c>
      <c r="H54" s="483"/>
      <c r="I54" s="483"/>
      <c r="J54" s="208" t="str">
        <f>FHD_NOTE_P_18</f>
        <v/>
      </c>
      <c r="K54" s="1549" t="str">
        <f t="shared" si="0"/>
        <v/>
      </c>
      <c r="L54" s="1549"/>
      <c r="M54" s="1554"/>
      <c r="N54" s="463"/>
      <c r="O54" s="463"/>
      <c r="R54" s="1549"/>
      <c r="U54" s="470"/>
      <c r="AA54" s="1545"/>
      <c r="AB54" s="1545"/>
      <c r="AC54" s="1545"/>
      <c r="AD54" s="1545"/>
      <c r="AE54" s="1545"/>
    </row>
    <row r="55" spans="1:31" s="1835" customFormat="1" ht="11.25" customHeight="1">
      <c r="A55" s="896"/>
      <c r="C55" s="1549"/>
      <c r="D55" s="501"/>
      <c r="E55" s="472" t="str">
        <f>FHD_NUM_P_19</f>
        <v>2.6</v>
      </c>
      <c r="F55" s="1435" t="str">
        <f>FHD_P_19</f>
        <v>Расходы на амортизацию основных средств и нематериальных активов</v>
      </c>
      <c r="G55" s="1789" t="s">
        <v>687</v>
      </c>
      <c r="H55" s="483"/>
      <c r="I55" s="483"/>
      <c r="J55" s="208" t="str">
        <f>FHD_NOTE_P_19</f>
        <v/>
      </c>
      <c r="K55" s="1549" t="str">
        <f t="shared" si="0"/>
        <v>p</v>
      </c>
      <c r="L55" s="1549"/>
      <c r="M55" s="1549"/>
      <c r="R55" s="1549"/>
      <c r="U55" s="470"/>
      <c r="AA55" s="1545"/>
      <c r="AB55" s="1545"/>
      <c r="AC55" s="1545"/>
      <c r="AD55" s="1545"/>
      <c r="AE55" s="1545"/>
    </row>
    <row r="56" spans="1:31" s="1835" customFormat="1" ht="11.25" customHeight="1">
      <c r="A56" s="896"/>
      <c r="C56" s="1549"/>
      <c r="D56" s="501"/>
      <c r="E56" s="472" t="str">
        <f>FHD_NUM_P_20</f>
        <v>2.6.1</v>
      </c>
      <c r="F56" s="1562" t="str">
        <f>FHD_P_20</f>
        <v>Расходы на амортизацию основных средств</v>
      </c>
      <c r="G56" s="1789" t="s">
        <v>687</v>
      </c>
      <c r="H56" s="483"/>
      <c r="I56" s="483"/>
      <c r="J56" s="208" t="str">
        <f>FHD_NOTE_P_20</f>
        <v/>
      </c>
      <c r="K56" s="1549" t="str">
        <f t="shared" si="0"/>
        <v/>
      </c>
      <c r="L56" s="1549"/>
      <c r="M56" s="1549"/>
      <c r="R56" s="1549"/>
      <c r="U56" s="470"/>
      <c r="AA56" s="1545"/>
      <c r="AB56" s="1545"/>
      <c r="AC56" s="1545"/>
      <c r="AD56" s="1545"/>
      <c r="AE56" s="1545"/>
    </row>
    <row r="57" spans="1:31" s="1835" customFormat="1" ht="11.25" customHeight="1">
      <c r="A57" s="896"/>
      <c r="C57" s="1549"/>
      <c r="D57" s="501"/>
      <c r="E57" s="472" t="str">
        <f>FHD_NUM_P_21</f>
        <v>2.6.2</v>
      </c>
      <c r="F57" s="1562" t="str">
        <f>FHD_P_21</f>
        <v>Расходы на амортизацию нематериальных активов</v>
      </c>
      <c r="G57" s="1789" t="s">
        <v>687</v>
      </c>
      <c r="H57" s="483"/>
      <c r="I57" s="483"/>
      <c r="J57" s="208" t="str">
        <f>FHD_NOTE_P_21</f>
        <v/>
      </c>
      <c r="K57" s="1549" t="str">
        <f t="shared" si="0"/>
        <v/>
      </c>
      <c r="L57" s="1549"/>
      <c r="M57" s="1549"/>
      <c r="R57" s="1549"/>
      <c r="U57" s="470"/>
      <c r="AA57" s="1545"/>
      <c r="AB57" s="1545"/>
      <c r="AC57" s="1545"/>
      <c r="AD57" s="1545"/>
      <c r="AE57" s="1545"/>
    </row>
    <row r="58" spans="1:31" s="1835" customFormat="1" ht="11.25" customHeight="1">
      <c r="A58" s="896"/>
      <c r="C58" s="1549"/>
      <c r="D58" s="1551"/>
      <c r="E58" s="472" t="str">
        <f>FHD_NUM_P_22</f>
        <v>2.7</v>
      </c>
      <c r="F58" s="1435" t="str">
        <f>FHD_P_22</f>
        <v>Расходы на аренду имущества, используемого для осуществления регулируемых видов деятельности в сфере водоотведения</v>
      </c>
      <c r="G58" s="1789" t="s">
        <v>687</v>
      </c>
      <c r="H58" s="483"/>
      <c r="I58" s="483"/>
      <c r="J58" s="208" t="str">
        <f>FHD_NOTE_P_22</f>
        <v/>
      </c>
      <c r="K58" s="1549" t="str">
        <f t="shared" si="0"/>
        <v>p</v>
      </c>
      <c r="L58" s="1549"/>
      <c r="M58" s="1549"/>
      <c r="R58" s="1549"/>
      <c r="U58" s="470"/>
      <c r="AA58" s="1545"/>
      <c r="AB58" s="1545"/>
      <c r="AC58" s="1545"/>
      <c r="AD58" s="1545"/>
      <c r="AE58" s="1545"/>
    </row>
    <row r="59" spans="1:31" s="1835" customFormat="1" ht="11.25" customHeight="1">
      <c r="A59" s="896"/>
      <c r="C59" s="1549"/>
      <c r="D59" s="501"/>
      <c r="E59" s="472" t="str">
        <f>FHD_NUM_P_23</f>
        <v>2.8</v>
      </c>
      <c r="F59" s="1435" t="str">
        <f>FHD_P_23</f>
        <v>Общепроизводственные расходы, в том числе:</v>
      </c>
      <c r="G59" s="1789" t="s">
        <v>687</v>
      </c>
      <c r="H59" s="483"/>
      <c r="I59" s="483"/>
      <c r="J59" s="208" t="str">
        <f>FHD_NOTE_P_23</f>
        <v>Указывается общая сумма общепроизводственных расходов.</v>
      </c>
      <c r="K59" s="1549" t="str">
        <f t="shared" si="0"/>
        <v>p</v>
      </c>
      <c r="L59" s="1549"/>
      <c r="M59" s="1549"/>
      <c r="R59" s="1549"/>
      <c r="U59" s="470"/>
      <c r="AA59" s="1545"/>
      <c r="AB59" s="1545"/>
      <c r="AC59" s="1545"/>
      <c r="AD59" s="1545"/>
      <c r="AE59" s="1545"/>
    </row>
    <row r="60" spans="1:31" s="1835" customFormat="1" ht="11.25" customHeight="1">
      <c r="A60" s="896"/>
      <c r="C60" s="1549"/>
      <c r="D60" s="501"/>
      <c r="E60" s="472" t="str">
        <f>FHD_NUM_P_24</f>
        <v>2.8.1</v>
      </c>
      <c r="F60" s="1562" t="str">
        <f>FHD_P_24</f>
        <v>Расходы на текущий ремонт</v>
      </c>
      <c r="G60" s="1789" t="s">
        <v>687</v>
      </c>
      <c r="H60" s="483"/>
      <c r="I60" s="483"/>
      <c r="J60" s="208" t="str">
        <f>FHD_NOTE_P_24</f>
        <v>Указываются расходы на текущий ремонт, отнесенные к общепроизводственным расходам.</v>
      </c>
      <c r="K60" s="1549" t="str">
        <f t="shared" si="0"/>
        <v/>
      </c>
      <c r="L60" s="1549"/>
      <c r="M60" s="1549"/>
      <c r="R60" s="1549"/>
      <c r="U60" s="470"/>
      <c r="AA60" s="1545"/>
      <c r="AB60" s="1545"/>
      <c r="AC60" s="1545"/>
      <c r="AD60" s="1545"/>
      <c r="AE60" s="1545"/>
    </row>
    <row r="61" spans="1:31" s="1835" customFormat="1" ht="11.25" customHeight="1">
      <c r="A61" s="896"/>
      <c r="C61" s="1549"/>
      <c r="D61" s="501"/>
      <c r="E61" s="472" t="str">
        <f>FHD_NUM_P_25</f>
        <v>2.8.2</v>
      </c>
      <c r="F61" s="1562" t="str">
        <f>FHD_P_25</f>
        <v>Расходы на капитальный ремонт</v>
      </c>
      <c r="G61" s="1789" t="s">
        <v>687</v>
      </c>
      <c r="H61" s="483"/>
      <c r="I61" s="483"/>
      <c r="J61" s="208" t="str">
        <f>FHD_NOTE_P_25</f>
        <v>Указываются расходы на капитальный ремонт, отнесенные к общепроизводственным расходам.</v>
      </c>
      <c r="K61" s="1549" t="str">
        <f t="shared" si="0"/>
        <v/>
      </c>
      <c r="L61" s="1549"/>
      <c r="M61" s="1549"/>
      <c r="R61" s="1549"/>
      <c r="U61" s="470"/>
      <c r="AA61" s="1545"/>
      <c r="AB61" s="1545"/>
      <c r="AC61" s="1545"/>
      <c r="AD61" s="1545"/>
      <c r="AE61" s="1545"/>
    </row>
    <row r="62" spans="1:31" s="1835" customFormat="1" ht="11.25" customHeight="1">
      <c r="A62" s="896"/>
      <c r="C62" s="1549"/>
      <c r="D62" s="1551"/>
      <c r="E62" s="472" t="str">
        <f>FHD_NUM_P_26</f>
        <v>2.9</v>
      </c>
      <c r="F62" s="1435" t="str">
        <f>FHD_P_26</f>
        <v>Общехозяйственные расходы, в том числе:</v>
      </c>
      <c r="G62" s="1789" t="s">
        <v>687</v>
      </c>
      <c r="H62" s="483"/>
      <c r="I62" s="483"/>
      <c r="J62" s="208" t="str">
        <f>FHD_NOTE_P_26</f>
        <v>Указывается общая сумма общехозяйственных расходов.</v>
      </c>
      <c r="K62" s="1549" t="str">
        <f t="shared" si="0"/>
        <v>p</v>
      </c>
      <c r="L62" s="1549"/>
      <c r="M62" s="1549"/>
      <c r="R62" s="1549"/>
      <c r="U62" s="470"/>
      <c r="AA62" s="1545"/>
      <c r="AB62" s="1545"/>
      <c r="AC62" s="1545"/>
      <c r="AD62" s="1545"/>
      <c r="AE62" s="1545"/>
    </row>
    <row r="63" spans="1:31" s="1835" customFormat="1" ht="11.25" customHeight="1">
      <c r="A63" s="896"/>
      <c r="C63" s="1549"/>
      <c r="D63" s="1551"/>
      <c r="E63" s="472" t="str">
        <f>FHD_NUM_P_27</f>
        <v>2.9.1</v>
      </c>
      <c r="F63" s="1562" t="str">
        <f>FHD_P_27</f>
        <v>Расходы на текущий ремонт</v>
      </c>
      <c r="G63" s="1789" t="s">
        <v>687</v>
      </c>
      <c r="H63" s="483"/>
      <c r="I63" s="483"/>
      <c r="J63" s="208" t="str">
        <f>FHD_NOTE_P_27</f>
        <v>Указываются расходы на текущий ремонт, отнесенные к общехозяйственным расходам.</v>
      </c>
      <c r="K63" s="1549" t="str">
        <f t="shared" si="0"/>
        <v/>
      </c>
      <c r="L63" s="1549"/>
      <c r="M63" s="1549"/>
      <c r="R63" s="1549"/>
      <c r="U63" s="470"/>
      <c r="AA63" s="1545"/>
      <c r="AB63" s="1545"/>
      <c r="AC63" s="1545"/>
      <c r="AD63" s="1545"/>
      <c r="AE63" s="1545"/>
    </row>
    <row r="64" spans="1:31" s="1835" customFormat="1" ht="11.25" customHeight="1">
      <c r="A64" s="896"/>
      <c r="C64" s="1549"/>
      <c r="D64" s="1551"/>
      <c r="E64" s="472" t="str">
        <f>FHD_NUM_P_28</f>
        <v>2.9.2</v>
      </c>
      <c r="F64" s="1562" t="str">
        <f>FHD_P_28</f>
        <v>Расходы на капитальный ремонт</v>
      </c>
      <c r="G64" s="1789" t="s">
        <v>687</v>
      </c>
      <c r="H64" s="483"/>
      <c r="I64" s="483"/>
      <c r="J64" s="208" t="str">
        <f>FHD_NOTE_P_28</f>
        <v>Указываются расходы на капитальный ремонт, отнесенные к общехозяйственным расходам.</v>
      </c>
      <c r="K64" s="1549" t="str">
        <f t="shared" si="0"/>
        <v/>
      </c>
      <c r="L64" s="1549"/>
      <c r="M64" s="1549"/>
      <c r="R64" s="1549"/>
      <c r="U64" s="470"/>
      <c r="AA64" s="1545"/>
      <c r="AB64" s="1545"/>
      <c r="AC64" s="1545"/>
      <c r="AD64" s="1545"/>
      <c r="AE64" s="1545"/>
    </row>
    <row r="65" spans="1:31" s="1835" customFormat="1" ht="11.25" customHeight="1">
      <c r="A65" s="896"/>
      <c r="C65" s="1549"/>
      <c r="D65" s="1551"/>
      <c r="E65" s="472" t="str">
        <f>FHD_NUM_P_29</f>
        <v>2.10</v>
      </c>
      <c r="F65" s="1435" t="str">
        <f>FHD_P_29</f>
        <v>Расходы на капитальный и текущий ремонт основных средств</v>
      </c>
      <c r="G65" s="1789" t="s">
        <v>687</v>
      </c>
      <c r="H65" s="483"/>
      <c r="I65" s="483"/>
      <c r="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9" t="str">
        <f t="shared" si="0"/>
        <v>p</v>
      </c>
      <c r="L65" s="1549"/>
      <c r="M65" s="1549"/>
      <c r="R65" s="1549"/>
      <c r="U65" s="470"/>
      <c r="AA65" s="1545"/>
      <c r="AB65" s="1545"/>
      <c r="AC65" s="1545"/>
      <c r="AD65" s="1545"/>
      <c r="AE65" s="1545"/>
    </row>
    <row r="66" spans="1:31" s="1835" customFormat="1" ht="11.25" customHeight="1">
      <c r="A66" s="896"/>
      <c r="C66" s="1549"/>
      <c r="D66" s="1551"/>
      <c r="E66" s="472" t="str">
        <f>FHD_NUM_P_30</f>
        <v>2.10.1</v>
      </c>
      <c r="F66" s="15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445</v>
      </c>
      <c r="H66" s="1561" t="s">
        <v>710</v>
      </c>
      <c r="I66" s="1561" t="s">
        <v>710</v>
      </c>
      <c r="J66" s="208" t="str">
        <f>FHD_NOTE_P_30</f>
        <v/>
      </c>
      <c r="K66" s="1549" t="str">
        <f t="shared" si="0"/>
        <v/>
      </c>
      <c r="L66" s="1549">
        <f>IFERROR(MATCH("есть",B_FHD_FLAG_INDEX_1,0),0)</f>
        <v>0</v>
      </c>
      <c r="M66" s="1549"/>
      <c r="R66" s="1549"/>
      <c r="U66" s="470"/>
      <c r="AA66" s="1545"/>
      <c r="AB66" s="1545"/>
      <c r="AC66" s="1545"/>
      <c r="AD66" s="1545"/>
      <c r="AE66" s="1545"/>
    </row>
    <row r="67" spans="1:31" s="1835" customFormat="1" ht="22.5" customHeight="1">
      <c r="A67" s="4838" t="s">
        <v>711</v>
      </c>
      <c r="C67" s="1549"/>
      <c r="D67" s="1551"/>
      <c r="E67" s="472" t="str">
        <f>FHD_NUM_P_31</f>
        <v>2.11</v>
      </c>
      <c r="F67" s="143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89" t="s">
        <v>687</v>
      </c>
      <c r="H67" s="483"/>
      <c r="I67" s="483"/>
      <c r="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49" t="str">
        <f t="shared" si="0"/>
        <v>p</v>
      </c>
      <c r="L67" s="1549"/>
      <c r="M67" s="1549"/>
      <c r="R67" s="1549"/>
      <c r="U67" s="470"/>
      <c r="AA67" s="1545"/>
      <c r="AB67" s="1545"/>
      <c r="AC67" s="1545"/>
      <c r="AD67" s="1545"/>
      <c r="AE67" s="1545"/>
    </row>
    <row r="68" spans="1:31" s="1835" customFormat="1" ht="45" customHeight="1">
      <c r="A68" s="4838"/>
      <c r="C68" s="1549"/>
      <c r="D68" s="1551"/>
      <c r="E68" s="472" t="str">
        <f>FHD_NUM_P_32</f>
        <v>2.11.1</v>
      </c>
      <c r="F68" s="15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445</v>
      </c>
      <c r="H68" s="1561" t="s">
        <v>710</v>
      </c>
      <c r="I68" s="1561" t="s">
        <v>710</v>
      </c>
      <c r="J68" s="208" t="str">
        <f>FHD_NOTE_P_32</f>
        <v/>
      </c>
      <c r="K68" s="1549" t="str">
        <f t="shared" si="0"/>
        <v/>
      </c>
      <c r="L68" s="1549">
        <f>IFERROR(MATCH("есть",B_FHD_FLAG_INDEX_2,0),0)</f>
        <v>0</v>
      </c>
      <c r="M68" s="1549"/>
      <c r="R68" s="1549"/>
      <c r="U68" s="470"/>
      <c r="AA68" s="1545"/>
      <c r="AB68" s="1545"/>
      <c r="AC68" s="1545"/>
      <c r="AD68" s="1545"/>
      <c r="AE68" s="1545"/>
    </row>
    <row r="69" spans="1:31" s="1835" customFormat="1" ht="11.25" customHeight="1">
      <c r="A69" s="896"/>
      <c r="C69" s="1549"/>
      <c r="D69" s="1551"/>
      <c r="E69" s="472" t="str">
        <f>FHD_NUM_P_33</f>
        <v>2.12</v>
      </c>
      <c r="F69" s="1435"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0" t="s">
        <v>687</v>
      </c>
      <c r="H69" s="505">
        <f>SUM(H70:H71)</f>
        <v>0</v>
      </c>
      <c r="I69" s="505">
        <f>SUM(I70:I71)</f>
        <v>0</v>
      </c>
      <c r="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49" t="str">
        <f t="shared" si="0"/>
        <v>p</v>
      </c>
      <c r="L69" s="1549"/>
      <c r="M69" s="1549"/>
      <c r="R69" s="1549"/>
      <c r="U69" s="470"/>
      <c r="AA69" s="1545"/>
      <c r="AB69" s="1545"/>
      <c r="AC69" s="1545"/>
      <c r="AD69" s="1545"/>
      <c r="AE69" s="1545"/>
    </row>
    <row r="70" spans="1:31" s="1834" customFormat="1" ht="0.75" customHeight="1">
      <c r="A70" s="1068"/>
      <c r="D70" s="474"/>
      <c r="E70" s="921" t="str">
        <f>E69&amp;".0"</f>
        <v>2.12.0</v>
      </c>
      <c r="F70" s="900"/>
      <c r="G70" s="921"/>
      <c r="H70" s="901"/>
      <c r="I70" s="901"/>
      <c r="J70" s="902"/>
      <c r="K70" s="1549" t="str">
        <f t="shared" si="0"/>
        <v/>
      </c>
    </row>
    <row r="71" spans="1:31" s="1835" customFormat="1" ht="14.25" customHeight="1">
      <c r="A71" s="896"/>
      <c r="C71" s="1549"/>
      <c r="D71" s="1546"/>
      <c r="E71" s="496"/>
      <c r="F71" s="497" t="s">
        <v>712</v>
      </c>
      <c r="G71" s="498"/>
      <c r="H71" s="499"/>
      <c r="I71" s="499"/>
      <c r="J71" s="220"/>
      <c r="K71" s="1549"/>
      <c r="L71" s="1549"/>
      <c r="M71" s="1549"/>
      <c r="R71" s="1549"/>
      <c r="U71" s="470"/>
      <c r="AA71" s="1545"/>
      <c r="AB71" s="1545"/>
      <c r="AC71" s="1545"/>
      <c r="AD71" s="1545"/>
      <c r="AE71" s="1545"/>
    </row>
    <row r="72" spans="1:31" s="1835" customFormat="1" ht="18.75" hidden="1" customHeight="1">
      <c r="A72" s="898" t="s">
        <v>713</v>
      </c>
      <c r="C72" s="1549"/>
      <c r="D72" s="1551"/>
      <c r="E72" s="472" t="str">
        <f>FHD_NUM_P_34</f>
        <v/>
      </c>
      <c r="F72" s="1791" t="str">
        <f>FHD_P_34</f>
        <v/>
      </c>
      <c r="G72" s="1789" t="s">
        <v>687</v>
      </c>
      <c r="H72" s="483"/>
      <c r="I72" s="483"/>
      <c r="J72" s="208" t="str">
        <f>FHD_NOTE_P_34</f>
        <v/>
      </c>
      <c r="K72" s="469"/>
      <c r="L72" s="1549"/>
      <c r="M72" s="1549"/>
      <c r="R72" s="1549"/>
      <c r="U72" s="470"/>
      <c r="AA72" s="1545"/>
      <c r="AB72" s="1545"/>
      <c r="AC72" s="1545"/>
      <c r="AD72" s="1545"/>
      <c r="AE72" s="1545"/>
    </row>
    <row r="73" spans="1:31" s="1835" customFormat="1" ht="18.75" customHeight="1">
      <c r="A73" s="896"/>
      <c r="C73" s="1549"/>
      <c r="D73" s="501"/>
      <c r="E73" s="472" t="str">
        <f>FHD_NUM_P_35</f>
        <v>3</v>
      </c>
      <c r="F73" s="1791" t="str">
        <f>FHD_P_35</f>
        <v>Чистая прибыль, полученная от регулируемого вида деятельности в сфере водоотведения, в том числе:</v>
      </c>
      <c r="G73" s="1789" t="s">
        <v>687</v>
      </c>
      <c r="H73" s="483"/>
      <c r="I73" s="483"/>
      <c r="J73" s="208" t="str">
        <f>FHD_NOTE_P_35</f>
        <v>Указывается общая сумма чистой прибыли, полученной от регулируемого вида деятельности.</v>
      </c>
      <c r="K73" s="469"/>
      <c r="L73" s="1549"/>
      <c r="M73" s="1549"/>
      <c r="R73" s="1549"/>
      <c r="U73" s="470"/>
      <c r="AA73" s="1545"/>
      <c r="AB73" s="1545"/>
      <c r="AC73" s="1545"/>
      <c r="AD73" s="1545"/>
      <c r="AE73" s="1545"/>
    </row>
    <row r="74" spans="1:31" s="1835" customFormat="1" ht="18.75" customHeight="1">
      <c r="A74" s="896"/>
      <c r="C74" s="1549"/>
      <c r="D74" s="1551"/>
      <c r="E74" s="472" t="str">
        <f>FHD_NUM_P_36</f>
        <v>3.1</v>
      </c>
      <c r="F74" s="143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687</v>
      </c>
      <c r="H74" s="483"/>
      <c r="I74" s="483"/>
      <c r="J74" s="208" t="str">
        <f>FHD_NOTE_P_36</f>
        <v/>
      </c>
      <c r="K74" s="469"/>
      <c r="L74" s="1549"/>
      <c r="M74" s="1549"/>
      <c r="R74" s="1549"/>
      <c r="U74" s="470"/>
      <c r="AA74" s="1545"/>
      <c r="AB74" s="1545"/>
      <c r="AC74" s="1545"/>
      <c r="AD74" s="1545"/>
      <c r="AE74" s="1545"/>
    </row>
    <row r="75" spans="1:31" s="1835" customFormat="1" ht="18.75" customHeight="1">
      <c r="A75" s="896"/>
      <c r="C75" s="1549"/>
      <c r="D75" s="1551"/>
      <c r="E75" s="472" t="str">
        <f>FHD_NUM_P_37</f>
        <v>4</v>
      </c>
      <c r="F75" s="1791" t="str">
        <f>FHD_P_37</f>
        <v>Изменение стоимости основных фондов, в том числе:</v>
      </c>
      <c r="G75" s="1789" t="s">
        <v>687</v>
      </c>
      <c r="H75" s="483"/>
      <c r="I75" s="483"/>
      <c r="J75" s="208" t="str">
        <f>FHD_NOTE_P_37</f>
        <v>Указывается общее изменение стоимости основных фондов.</v>
      </c>
      <c r="K75" s="469"/>
      <c r="L75" s="1549"/>
      <c r="M75" s="1549"/>
      <c r="R75" s="1549"/>
      <c r="U75" s="470"/>
      <c r="AA75" s="1545"/>
      <c r="AB75" s="1545"/>
      <c r="AC75" s="1545"/>
      <c r="AD75" s="1545"/>
      <c r="AE75" s="1545"/>
    </row>
    <row r="76" spans="1:31" s="1835" customFormat="1" ht="18.75" customHeight="1">
      <c r="A76" s="896"/>
      <c r="C76" s="1549"/>
      <c r="D76" s="1551"/>
      <c r="E76" s="472" t="str">
        <f>FHD_NUM_P_38</f>
        <v>4.1</v>
      </c>
      <c r="F76" s="1435" t="str">
        <f>FHD_P_38</f>
        <v>Изменение стоимости основных фондов за счет их ввода в эксплуатацию (вывода из эксплуатации)</v>
      </c>
      <c r="G76" s="1789" t="s">
        <v>687</v>
      </c>
      <c r="H76" s="483"/>
      <c r="I76" s="483"/>
      <c r="J76" s="208" t="str">
        <f>FHD_NOTE_P_38</f>
        <v>Указываются общее изменение стоимости основных фондов за счет их ввода в эксплуатацию и вывода из эксплуатации.</v>
      </c>
      <c r="K76" s="469"/>
      <c r="L76" s="1549"/>
      <c r="M76" s="1549"/>
      <c r="R76" s="1549"/>
      <c r="U76" s="470"/>
      <c r="AA76" s="1545"/>
      <c r="AB76" s="1545"/>
      <c r="AC76" s="1545"/>
      <c r="AD76" s="1545"/>
      <c r="AE76" s="1545"/>
    </row>
    <row r="77" spans="1:31" s="1835" customFormat="1" ht="18.75" customHeight="1">
      <c r="A77" s="896"/>
      <c r="C77" s="1549"/>
      <c r="D77" s="1551"/>
      <c r="E77" s="472" t="str">
        <f>FHD_NUM_P_39</f>
        <v>4.1.1</v>
      </c>
      <c r="F77" s="1562" t="str">
        <f>FHD_P_39</f>
        <v>Изменение стоимости основных фондов за счет их ввода в эксплуатацию</v>
      </c>
      <c r="G77" s="1789" t="s">
        <v>687</v>
      </c>
      <c r="H77" s="483"/>
      <c r="I77" s="483"/>
      <c r="J77" s="208" t="str">
        <f>FHD_NOTE_P_39</f>
        <v>Указываются изменение стоимости основных фондов за счет их ввода в эксплуатацию.</v>
      </c>
      <c r="K77" s="469"/>
      <c r="L77" s="1549"/>
      <c r="M77" s="1549"/>
      <c r="R77" s="1549"/>
      <c r="U77" s="470"/>
      <c r="AA77" s="1545"/>
      <c r="AB77" s="1545"/>
      <c r="AC77" s="1545"/>
      <c r="AD77" s="1545"/>
      <c r="AE77" s="1545"/>
    </row>
    <row r="78" spans="1:31" s="1835" customFormat="1" ht="18.75" customHeight="1">
      <c r="A78" s="896"/>
      <c r="C78" s="1549"/>
      <c r="D78" s="1551"/>
      <c r="E78" s="472" t="str">
        <f>FHD_NUM_P_40</f>
        <v>4.1.2</v>
      </c>
      <c r="F78" s="1562" t="str">
        <f>FHD_P_40</f>
        <v>Изменение стоимости основных фондов за счет их вывода в эксплуатацию</v>
      </c>
      <c r="G78" s="1789" t="s">
        <v>687</v>
      </c>
      <c r="H78" s="483"/>
      <c r="I78" s="483"/>
      <c r="J78" s="208" t="str">
        <f>FHD_NOTE_P_40</f>
        <v>Указываются изменение стоимости основных фондов за счет их вывода из эксплуатации.</v>
      </c>
      <c r="K78" s="469"/>
      <c r="L78" s="1549"/>
      <c r="M78" s="1549"/>
      <c r="R78" s="1549"/>
      <c r="U78" s="470"/>
      <c r="AA78" s="1545"/>
      <c r="AB78" s="1545"/>
      <c r="AC78" s="1545"/>
      <c r="AD78" s="1545"/>
      <c r="AE78" s="1545"/>
    </row>
    <row r="79" spans="1:31" s="1835" customFormat="1" ht="18.75" customHeight="1">
      <c r="A79" s="896"/>
      <c r="C79" s="1549"/>
      <c r="D79" s="1551"/>
      <c r="E79" s="472" t="str">
        <f>FHD_NUM_P_41</f>
        <v>4.2</v>
      </c>
      <c r="F79" s="1435" t="str">
        <f>FHD_P_41</f>
        <v>Изменение стоимости основных фондов за счет их переоценки</v>
      </c>
      <c r="G79" s="1790" t="s">
        <v>687</v>
      </c>
      <c r="H79" s="483"/>
      <c r="I79" s="483"/>
      <c r="J79" s="208" t="str">
        <f>FHD_NOTE_P_41</f>
        <v/>
      </c>
      <c r="K79" s="469"/>
      <c r="L79" s="1549"/>
      <c r="M79" s="1549"/>
      <c r="R79" s="1549"/>
      <c r="U79" s="470"/>
      <c r="AA79" s="1545"/>
      <c r="AB79" s="1545"/>
      <c r="AC79" s="1545"/>
      <c r="AD79" s="1545"/>
      <c r="AE79" s="1545"/>
    </row>
    <row r="80" spans="1:31" s="1835" customFormat="1" ht="18.75" customHeight="1">
      <c r="A80" s="898" t="s">
        <v>714</v>
      </c>
      <c r="C80" s="1549"/>
      <c r="D80" s="1551"/>
      <c r="E80" s="472" t="str">
        <f>FHD_NUM_P_42</f>
        <v>5</v>
      </c>
      <c r="F80" s="1791" t="str">
        <f>FHD_P_42</f>
        <v>Валовая прибыль (убытки) от продажи товаров и услуг по регулируемым видам деятельности в сфере водоотведения</v>
      </c>
      <c r="G80" s="1789" t="s">
        <v>687</v>
      </c>
      <c r="H80" s="886"/>
      <c r="I80" s="483"/>
      <c r="J80" s="208" t="str">
        <f>FHD_NOTE_P_42</f>
        <v/>
      </c>
      <c r="K80" s="469"/>
      <c r="L80" s="1549"/>
      <c r="M80" s="1549"/>
      <c r="R80" s="1549"/>
      <c r="U80" s="470"/>
      <c r="AA80" s="1545"/>
      <c r="AB80" s="1545"/>
      <c r="AC80" s="1545"/>
      <c r="AD80" s="1545"/>
      <c r="AE80" s="1545"/>
    </row>
    <row r="81" spans="1:31" s="1835" customFormat="1" ht="18.75" customHeight="1">
      <c r="A81" s="896"/>
      <c r="C81" s="1549"/>
      <c r="D81" s="1551"/>
      <c r="E81" s="472" t="str">
        <f>FHD_NUM_P_43</f>
        <v>6</v>
      </c>
      <c r="F81" s="1791" t="str">
        <f>FHD_P_43</f>
        <v>Годовая бухгалтерская (финансовая) отчетность, включая бухгалтерский баланс и приложения к нему</v>
      </c>
      <c r="G81" s="1789" t="s">
        <v>445</v>
      </c>
      <c r="H81" s="963"/>
      <c r="I81" s="736"/>
      <c r="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9"/>
      <c r="L81" s="1549"/>
      <c r="M81" s="1549"/>
      <c r="R81" s="1549"/>
      <c r="U81" s="470"/>
      <c r="AA81" s="1545"/>
      <c r="AB81" s="1545"/>
      <c r="AC81" s="1545"/>
      <c r="AD81" s="1545"/>
      <c r="AE81" s="1545"/>
    </row>
    <row r="82" spans="1:31" s="4070" customFormat="1" ht="18.75" hidden="1" customHeight="1">
      <c r="A82" s="4838" t="s">
        <v>715</v>
      </c>
      <c r="C82" s="655"/>
      <c r="D82" s="653"/>
      <c r="E82" s="472" t="str">
        <f>FHD_NUM_P_44</f>
        <v/>
      </c>
      <c r="F82" s="1791" t="str">
        <f>FHD_P_44</f>
        <v/>
      </c>
      <c r="G82" s="1792" t="s">
        <v>716</v>
      </c>
      <c r="H82" s="887"/>
      <c r="I82" s="503"/>
      <c r="J82" s="208" t="str">
        <f>FHD_NOTE_P_44</f>
        <v/>
      </c>
      <c r="K82" s="654"/>
      <c r="L82" s="655"/>
      <c r="M82" s="655"/>
      <c r="R82" s="655"/>
      <c r="U82" s="656"/>
      <c r="AA82" s="657"/>
      <c r="AB82" s="657"/>
      <c r="AC82" s="657"/>
      <c r="AD82" s="657"/>
      <c r="AE82" s="657"/>
    </row>
    <row r="83" spans="1:31" s="4070" customFormat="1" ht="18.75" hidden="1" customHeight="1">
      <c r="A83" s="4838"/>
      <c r="C83" s="655"/>
      <c r="D83" s="653"/>
      <c r="E83" s="472" t="str">
        <f>FHD_NUM_P_45</f>
        <v/>
      </c>
      <c r="F83" s="1791" t="str">
        <f>FHD_P_45</f>
        <v/>
      </c>
      <c r="G83" s="1792" t="s">
        <v>716</v>
      </c>
      <c r="H83" s="887"/>
      <c r="I83" s="503"/>
      <c r="J83" s="208" t="str">
        <f>FHD_NOTE_P_45</f>
        <v/>
      </c>
      <c r="K83" s="654"/>
      <c r="L83" s="655"/>
      <c r="M83" s="655"/>
      <c r="R83" s="655"/>
      <c r="U83" s="656"/>
      <c r="AA83" s="657"/>
      <c r="AB83" s="657"/>
      <c r="AC83" s="657"/>
      <c r="AD83" s="657"/>
      <c r="AE83" s="657"/>
    </row>
    <row r="84" spans="1:31" s="4070" customFormat="1" ht="18.75" hidden="1" customHeight="1">
      <c r="A84" s="4838"/>
      <c r="C84" s="655"/>
      <c r="D84" s="658"/>
      <c r="E84" s="472" t="str">
        <f>FHD_NUM_P_46</f>
        <v/>
      </c>
      <c r="F84" s="1791" t="str">
        <f>FHD_P_46</f>
        <v/>
      </c>
      <c r="G84" s="1792" t="s">
        <v>716</v>
      </c>
      <c r="H84" s="887"/>
      <c r="I84" s="503"/>
      <c r="J84" s="208" t="str">
        <f>FHD_NOTE_P_46</f>
        <v/>
      </c>
      <c r="K84" s="654"/>
      <c r="L84" s="655"/>
      <c r="M84" s="655"/>
      <c r="R84" s="655"/>
      <c r="U84" s="656"/>
      <c r="AA84" s="657"/>
      <c r="AB84" s="657"/>
      <c r="AC84" s="657"/>
      <c r="AD84" s="657"/>
      <c r="AE84" s="657"/>
    </row>
    <row r="85" spans="1:31" s="4070" customFormat="1" ht="18.75" hidden="1" customHeight="1">
      <c r="A85" s="4838"/>
      <c r="C85" s="655"/>
      <c r="D85" s="653"/>
      <c r="E85" s="472" t="str">
        <f>FHD_NUM_P_47</f>
        <v/>
      </c>
      <c r="F85" s="1791" t="str">
        <f>FHD_P_47</f>
        <v/>
      </c>
      <c r="G85" s="1792" t="s">
        <v>716</v>
      </c>
      <c r="H85" s="887"/>
      <c r="I85" s="503"/>
      <c r="J85" s="208" t="str">
        <f>FHD_NOTE_P_47</f>
        <v/>
      </c>
      <c r="K85" s="654"/>
      <c r="L85" s="655"/>
      <c r="M85" s="655"/>
      <c r="R85" s="655"/>
      <c r="U85" s="656"/>
      <c r="AA85" s="657"/>
      <c r="AB85" s="657"/>
      <c r="AC85" s="657"/>
      <c r="AD85" s="657"/>
      <c r="AE85" s="657"/>
    </row>
    <row r="86" spans="1:31" s="4071" customFormat="1" ht="18.75" hidden="1" customHeight="1">
      <c r="A86" s="4838"/>
      <c r="B86" s="824"/>
      <c r="C86" s="655"/>
      <c r="D86" s="653"/>
      <c r="E86" s="472" t="str">
        <f>FHD_NUM_P_48</f>
        <v/>
      </c>
      <c r="F86" s="1791" t="str">
        <f>FHD_P_48</f>
        <v/>
      </c>
      <c r="G86" s="1792" t="s">
        <v>716</v>
      </c>
      <c r="H86" s="887"/>
      <c r="I86" s="503"/>
      <c r="J86" s="208" t="str">
        <f>FHD_NOTE_P_48</f>
        <v/>
      </c>
      <c r="K86" s="654"/>
      <c r="L86" s="655"/>
      <c r="M86" s="655"/>
      <c r="N86" s="824"/>
      <c r="O86" s="824"/>
      <c r="P86" s="824"/>
      <c r="Q86" s="824"/>
      <c r="R86" s="655"/>
      <c r="S86" s="824"/>
      <c r="T86" s="824"/>
      <c r="U86" s="656"/>
      <c r="V86" s="824"/>
      <c r="W86" s="824"/>
      <c r="X86" s="824"/>
      <c r="Y86" s="824"/>
      <c r="Z86" s="824"/>
      <c r="AA86" s="657"/>
      <c r="AB86" s="657"/>
      <c r="AC86" s="657"/>
      <c r="AD86" s="657"/>
      <c r="AE86" s="657"/>
    </row>
    <row r="87" spans="1:31" s="4071" customFormat="1" ht="18.75" hidden="1" customHeight="1">
      <c r="A87" s="4838"/>
      <c r="B87" s="824"/>
      <c r="C87" s="655"/>
      <c r="D87" s="653"/>
      <c r="E87" s="472" t="str">
        <f>FHD_NUM_P_49</f>
        <v/>
      </c>
      <c r="F87" s="1791" t="str">
        <f>FHD_P_49</f>
        <v/>
      </c>
      <c r="G87" s="1792" t="s">
        <v>716</v>
      </c>
      <c r="H87" s="888">
        <f>SUM(H88:H89)</f>
        <v>0</v>
      </c>
      <c r="I87" s="668">
        <f>SUM(I88:I89)</f>
        <v>0</v>
      </c>
      <c r="J87" s="208" t="str">
        <f>FHD_NOTE_P_49</f>
        <v/>
      </c>
      <c r="K87" s="654"/>
      <c r="L87" s="655"/>
      <c r="M87" s="655"/>
      <c r="N87" s="824"/>
      <c r="O87" s="824"/>
      <c r="P87" s="824"/>
      <c r="Q87" s="824"/>
      <c r="R87" s="655"/>
      <c r="S87" s="824"/>
      <c r="T87" s="824"/>
      <c r="U87" s="656"/>
      <c r="V87" s="824"/>
      <c r="W87" s="824"/>
      <c r="X87" s="824"/>
      <c r="Y87" s="824"/>
      <c r="Z87" s="824"/>
      <c r="AA87" s="657"/>
      <c r="AB87" s="657"/>
      <c r="AC87" s="657"/>
      <c r="AD87" s="657"/>
      <c r="AE87" s="657"/>
    </row>
    <row r="88" spans="1:31" s="4071" customFormat="1" ht="18.75" hidden="1" customHeight="1">
      <c r="A88" s="4838"/>
      <c r="B88" s="824"/>
      <c r="C88" s="655"/>
      <c r="D88" s="653"/>
      <c r="E88" s="472" t="str">
        <f>FHD_NUM_P_50</f>
        <v/>
      </c>
      <c r="F88" s="1791" t="str">
        <f>FHD_P_50</f>
        <v/>
      </c>
      <c r="G88" s="1792" t="s">
        <v>716</v>
      </c>
      <c r="H88" s="887"/>
      <c r="I88" s="503"/>
      <c r="J88" s="208" t="str">
        <f>FHD_NOTE_P_50</f>
        <v/>
      </c>
      <c r="K88" s="654"/>
      <c r="L88" s="655"/>
      <c r="M88" s="655"/>
      <c r="N88" s="824"/>
      <c r="O88" s="824"/>
      <c r="P88" s="824"/>
      <c r="Q88" s="824"/>
      <c r="R88" s="655"/>
      <c r="S88" s="824"/>
      <c r="T88" s="824"/>
      <c r="U88" s="656"/>
      <c r="V88" s="824"/>
      <c r="W88" s="824"/>
      <c r="X88" s="824"/>
      <c r="Y88" s="824"/>
      <c r="Z88" s="824"/>
      <c r="AA88" s="657"/>
      <c r="AB88" s="657"/>
      <c r="AC88" s="657"/>
      <c r="AD88" s="657"/>
      <c r="AE88" s="657"/>
    </row>
    <row r="89" spans="1:31" s="4071" customFormat="1" ht="18.75" hidden="1" customHeight="1">
      <c r="A89" s="4838"/>
      <c r="B89" s="824"/>
      <c r="C89" s="655"/>
      <c r="D89" s="653"/>
      <c r="E89" s="472" t="str">
        <f>FHD_NUM_P_51</f>
        <v/>
      </c>
      <c r="F89" s="1791" t="str">
        <f>FHD_P_51</f>
        <v/>
      </c>
      <c r="G89" s="1792" t="s">
        <v>716</v>
      </c>
      <c r="H89" s="887"/>
      <c r="I89" s="503"/>
      <c r="J89" s="208" t="str">
        <f>FHD_NOTE_P_51</f>
        <v/>
      </c>
      <c r="K89" s="654"/>
      <c r="L89" s="655"/>
      <c r="M89" s="655"/>
      <c r="N89" s="824"/>
      <c r="O89" s="824"/>
      <c r="P89" s="824"/>
      <c r="Q89" s="824"/>
      <c r="R89" s="655"/>
      <c r="S89" s="824"/>
      <c r="T89" s="824"/>
      <c r="U89" s="656"/>
      <c r="V89" s="824"/>
      <c r="W89" s="824"/>
      <c r="X89" s="824"/>
      <c r="Y89" s="824"/>
      <c r="Z89" s="824"/>
      <c r="AA89" s="657"/>
      <c r="AB89" s="657"/>
      <c r="AC89" s="657"/>
      <c r="AD89" s="657"/>
      <c r="AE89" s="657"/>
    </row>
    <row r="90" spans="1:31" s="4071" customFormat="1" ht="18.75" hidden="1" customHeight="1">
      <c r="A90" s="4838"/>
      <c r="B90" s="824"/>
      <c r="C90" s="655"/>
      <c r="D90" s="653"/>
      <c r="E90" s="472" t="str">
        <f>FHD_NUM_P_52</f>
        <v/>
      </c>
      <c r="F90" s="1791" t="str">
        <f>FHD_P_52</f>
        <v/>
      </c>
      <c r="G90" s="1792" t="s">
        <v>693</v>
      </c>
      <c r="H90" s="886"/>
      <c r="I90" s="483"/>
      <c r="J90" s="208" t="str">
        <f>FHD_NOTE_P_52</f>
        <v/>
      </c>
      <c r="K90" s="654"/>
      <c r="L90" s="655"/>
      <c r="M90" s="655"/>
      <c r="N90" s="824"/>
      <c r="O90" s="824"/>
      <c r="P90" s="824"/>
      <c r="Q90" s="824"/>
      <c r="R90" s="655"/>
      <c r="S90" s="824"/>
      <c r="T90" s="824"/>
      <c r="U90" s="656"/>
      <c r="V90" s="824"/>
      <c r="W90" s="824"/>
      <c r="X90" s="824"/>
      <c r="Y90" s="824"/>
      <c r="Z90" s="824"/>
      <c r="AA90" s="657"/>
      <c r="AB90" s="657"/>
      <c r="AC90" s="657"/>
      <c r="AD90" s="657"/>
      <c r="AE90" s="657"/>
    </row>
    <row r="91" spans="1:31" s="4070" customFormat="1" ht="18.75" hidden="1" customHeight="1">
      <c r="A91" s="4838" t="s">
        <v>717</v>
      </c>
      <c r="C91" s="655"/>
      <c r="D91" s="653"/>
      <c r="E91" s="472" t="str">
        <f>FHD_NUM_P_53</f>
        <v/>
      </c>
      <c r="F91" s="1791" t="str">
        <f>FHD_P_53</f>
        <v/>
      </c>
      <c r="G91" s="1792" t="s">
        <v>716</v>
      </c>
      <c r="H91" s="887"/>
      <c r="I91" s="503"/>
      <c r="J91" s="208" t="str">
        <f>FHD_NOTE_P_53</f>
        <v/>
      </c>
      <c r="K91" s="654"/>
      <c r="L91" s="655"/>
      <c r="M91" s="655"/>
      <c r="R91" s="655"/>
      <c r="U91" s="656"/>
      <c r="AA91" s="657"/>
      <c r="AB91" s="657"/>
      <c r="AC91" s="657"/>
      <c r="AD91" s="657"/>
      <c r="AE91" s="657"/>
    </row>
    <row r="92" spans="1:31" s="4070" customFormat="1" ht="18.75" hidden="1" customHeight="1">
      <c r="A92" s="4838"/>
      <c r="C92" s="655"/>
      <c r="D92" s="653"/>
      <c r="E92" s="472" t="str">
        <f>FHD_NUM_P_54</f>
        <v/>
      </c>
      <c r="F92" s="1791" t="str">
        <f>FHD_P_54</f>
        <v/>
      </c>
      <c r="G92" s="1792" t="s">
        <v>716</v>
      </c>
      <c r="H92" s="887"/>
      <c r="I92" s="503"/>
      <c r="J92" s="208" t="str">
        <f>FHD_NOTE_P_54</f>
        <v/>
      </c>
      <c r="K92" s="654"/>
      <c r="L92" s="655"/>
      <c r="M92" s="655"/>
      <c r="R92" s="655"/>
      <c r="U92" s="656"/>
      <c r="AA92" s="657"/>
      <c r="AB92" s="657"/>
      <c r="AC92" s="657"/>
      <c r="AD92" s="657"/>
      <c r="AE92" s="657"/>
    </row>
    <row r="93" spans="1:31" s="4070" customFormat="1" ht="18.75" hidden="1" customHeight="1">
      <c r="A93" s="4838"/>
      <c r="C93" s="655"/>
      <c r="D93" s="658"/>
      <c r="E93" s="472" t="str">
        <f>FHD_NUM_P_55</f>
        <v/>
      </c>
      <c r="F93" s="1791" t="str">
        <f>FHD_P_55</f>
        <v/>
      </c>
      <c r="G93" s="1795"/>
      <c r="H93" s="887"/>
      <c r="I93" s="503"/>
      <c r="J93" s="208" t="str">
        <f>FHD_NOTE_P_55</f>
        <v/>
      </c>
      <c r="K93" s="654"/>
      <c r="L93" s="655"/>
      <c r="M93" s="655"/>
      <c r="R93" s="655"/>
      <c r="U93" s="656"/>
      <c r="AA93" s="657"/>
      <c r="AB93" s="657"/>
      <c r="AC93" s="657"/>
      <c r="AD93" s="657"/>
      <c r="AE93" s="657"/>
    </row>
    <row r="94" spans="1:31" s="4070" customFormat="1" ht="18.75" hidden="1" customHeight="1">
      <c r="A94" s="4838"/>
      <c r="C94" s="655"/>
      <c r="D94" s="653"/>
      <c r="E94" s="472" t="str">
        <f>FHD_NUM_P_56</f>
        <v/>
      </c>
      <c r="F94" s="1791" t="str">
        <f>FHD_P_56</f>
        <v/>
      </c>
      <c r="G94" s="1792" t="s">
        <v>718</v>
      </c>
      <c r="H94" s="887"/>
      <c r="I94" s="503"/>
      <c r="J94" s="208" t="str">
        <f>FHD_NOTE_P_56</f>
        <v/>
      </c>
      <c r="K94" s="654"/>
      <c r="L94" s="655"/>
      <c r="M94" s="655"/>
      <c r="R94" s="655"/>
      <c r="U94" s="656"/>
      <c r="AA94" s="657"/>
      <c r="AB94" s="657"/>
      <c r="AC94" s="657"/>
      <c r="AD94" s="657"/>
      <c r="AE94" s="657"/>
    </row>
    <row r="95" spans="1:31" s="4071" customFormat="1" ht="18.75" hidden="1" customHeight="1">
      <c r="A95" s="4838"/>
      <c r="B95" s="824"/>
      <c r="C95" s="655"/>
      <c r="D95" s="653"/>
      <c r="E95" s="472" t="str">
        <f>FHD_NUM_P_57</f>
        <v/>
      </c>
      <c r="F95" s="1791" t="str">
        <f>FHD_P_57</f>
        <v/>
      </c>
      <c r="G95" s="1792" t="s">
        <v>693</v>
      </c>
      <c r="H95" s="886"/>
      <c r="I95" s="483"/>
      <c r="J95" s="208" t="str">
        <f>FHD_NOTE_P_57</f>
        <v/>
      </c>
      <c r="K95" s="654"/>
      <c r="L95" s="655"/>
      <c r="M95" s="655"/>
      <c r="N95" s="824"/>
      <c r="O95" s="824"/>
      <c r="P95" s="824"/>
      <c r="Q95" s="824"/>
      <c r="R95" s="655"/>
      <c r="S95" s="824"/>
      <c r="T95" s="824"/>
      <c r="U95" s="656"/>
      <c r="V95" s="824"/>
      <c r="W95" s="824"/>
      <c r="X95" s="824"/>
      <c r="Y95" s="824"/>
      <c r="Z95" s="824"/>
      <c r="AA95" s="657"/>
      <c r="AB95" s="657"/>
      <c r="AC95" s="657"/>
      <c r="AD95" s="657"/>
      <c r="AE95" s="657"/>
    </row>
    <row r="96" spans="1:31" ht="18.75" customHeight="1">
      <c r="A96" s="4838" t="s">
        <v>719</v>
      </c>
      <c r="D96" s="1551"/>
      <c r="E96" s="472" t="str">
        <f>FHD_NUM_P_58</f>
        <v>7</v>
      </c>
      <c r="F96" s="1791" t="str">
        <f>FHD_P_58</f>
        <v>Объём сточных вод, принятых от потребителей</v>
      </c>
      <c r="G96" s="1792" t="s">
        <v>716</v>
      </c>
      <c r="H96" s="887"/>
      <c r="I96" s="503"/>
      <c r="J96" s="208" t="str">
        <f>FHD_NOTE_P_58</f>
        <v/>
      </c>
      <c r="K96" s="469"/>
    </row>
    <row r="97" spans="1:31" ht="18.75" customHeight="1">
      <c r="A97" s="4838"/>
      <c r="D97" s="1551"/>
      <c r="E97" s="472" t="str">
        <f>FHD_NUM_P_59</f>
        <v>8</v>
      </c>
      <c r="F97" s="1791" t="str">
        <f>FHD_P_59</f>
        <v>Объём сточных вод, принятых от других регулируемых организаций, осуществляющих водоотведение и (или) очистку сточных вод</v>
      </c>
      <c r="G97" s="1792" t="s">
        <v>716</v>
      </c>
      <c r="H97" s="887"/>
      <c r="I97" s="503"/>
      <c r="J97" s="208" t="str">
        <f>FHD_NOTE_P_59</f>
        <v/>
      </c>
      <c r="K97" s="469"/>
    </row>
    <row r="98" spans="1:31" ht="18.75" customHeight="1">
      <c r="A98" s="4838"/>
      <c r="D98" s="1551"/>
      <c r="E98" s="472" t="str">
        <f>FHD_NUM_P_60</f>
        <v>9</v>
      </c>
      <c r="F98" s="1791" t="str">
        <f>FHD_P_60</f>
        <v>Объём сточных вод, пропущенных через очистные сооружения</v>
      </c>
      <c r="G98" s="1792" t="s">
        <v>716</v>
      </c>
      <c r="H98" s="887"/>
      <c r="I98" s="503"/>
      <c r="J98" s="208" t="str">
        <f>FHD_NOTE_P_60</f>
        <v/>
      </c>
      <c r="K98" s="469"/>
    </row>
    <row r="99" spans="1:31" s="1835" customFormat="1" ht="18.75" hidden="1" customHeight="1">
      <c r="A99" s="4838" t="s">
        <v>720</v>
      </c>
      <c r="C99" s="1549"/>
      <c r="D99" s="1551"/>
      <c r="E99" s="472" t="str">
        <f>FHD_NUM_P_61</f>
        <v/>
      </c>
      <c r="F99" s="1791" t="str">
        <f>FHD_P_61</f>
        <v/>
      </c>
      <c r="G99" s="1789" t="s">
        <v>691</v>
      </c>
      <c r="H99" s="889"/>
      <c r="I99" s="661"/>
      <c r="J99" s="208" t="str">
        <f>FHD_NOTE_P_61</f>
        <v/>
      </c>
      <c r="K99" s="469"/>
      <c r="L99" s="1549"/>
      <c r="M99" s="1549"/>
      <c r="R99" s="1549"/>
      <c r="U99" s="470"/>
      <c r="AA99" s="1545"/>
      <c r="AB99" s="1545"/>
      <c r="AC99" s="1545"/>
      <c r="AD99" s="1545"/>
      <c r="AE99" s="1545"/>
    </row>
    <row r="100" spans="1:31" s="1834" customFormat="1" ht="0.75" hidden="1" customHeight="1">
      <c r="A100" s="4838"/>
      <c r="D100" s="474"/>
      <c r="E100" s="921" t="str">
        <f>E99&amp;".0"</f>
        <v>.0</v>
      </c>
      <c r="F100" s="903"/>
      <c r="G100" s="904"/>
      <c r="H100" s="901"/>
      <c r="I100" s="901"/>
      <c r="J100" s="905"/>
    </row>
    <row r="101" spans="1:31" ht="15" hidden="1" customHeight="1">
      <c r="A101" s="4838"/>
      <c r="D101" s="1546"/>
      <c r="E101" s="881"/>
      <c r="F101" s="882" t="s">
        <v>721</v>
      </c>
      <c r="G101" s="498"/>
      <c r="H101" s="499"/>
      <c r="I101" s="499"/>
      <c r="J101" s="912" t="s">
        <v>722</v>
      </c>
      <c r="K101" s="469"/>
    </row>
    <row r="102" spans="1:31" s="1835" customFormat="1" ht="18.75" hidden="1" customHeight="1">
      <c r="A102" s="4838"/>
      <c r="C102" s="1549"/>
      <c r="D102" s="1551"/>
      <c r="E102" s="472" t="str">
        <f>FHD_NUM_P_62</f>
        <v/>
      </c>
      <c r="F102" s="1791" t="str">
        <f>FHD_P_62</f>
        <v/>
      </c>
      <c r="G102" s="1788" t="s">
        <v>691</v>
      </c>
      <c r="H102" s="483"/>
      <c r="I102" s="483"/>
      <c r="J102" s="208" t="str">
        <f>FHD_NOTE_P_62</f>
        <v/>
      </c>
      <c r="K102" s="469"/>
      <c r="L102" s="1549"/>
      <c r="M102" s="1549"/>
      <c r="R102" s="1549"/>
      <c r="U102" s="470"/>
      <c r="AA102" s="1545"/>
      <c r="AB102" s="1545"/>
      <c r="AC102" s="1545"/>
      <c r="AD102" s="1545"/>
      <c r="AE102" s="1545"/>
    </row>
    <row r="103" spans="1:31" s="1835" customFormat="1" ht="18.75" hidden="1" customHeight="1">
      <c r="A103" s="4838"/>
      <c r="C103" s="1549"/>
      <c r="D103" s="1551"/>
      <c r="E103" s="472" t="str">
        <f>FHD_NUM_P_63</f>
        <v/>
      </c>
      <c r="F103" s="1791" t="str">
        <f>FHD_P_63</f>
        <v/>
      </c>
      <c r="G103" s="1788" t="s">
        <v>718</v>
      </c>
      <c r="H103" s="503"/>
      <c r="I103" s="503"/>
      <c r="J103" s="208" t="str">
        <f>FHD_NOTE_P_63</f>
        <v/>
      </c>
      <c r="K103" s="469"/>
      <c r="L103" s="1549"/>
      <c r="M103" s="1549"/>
      <c r="R103" s="1549"/>
      <c r="U103" s="470"/>
      <c r="AA103" s="1545"/>
      <c r="AB103" s="1545"/>
      <c r="AC103" s="1545"/>
      <c r="AD103" s="1545"/>
      <c r="AE103" s="1545"/>
    </row>
    <row r="104" spans="1:31" s="1835" customFormat="1" ht="18.75" hidden="1" customHeight="1">
      <c r="A104" s="4838"/>
      <c r="C104" s="1549" t="s">
        <v>723</v>
      </c>
      <c r="D104" s="1551"/>
      <c r="E104" s="472" t="str">
        <f>FHD_NUM_P_64</f>
        <v/>
      </c>
      <c r="F104" s="1791" t="str">
        <f>FHD_P_64</f>
        <v/>
      </c>
      <c r="G104" s="1788" t="s">
        <v>718</v>
      </c>
      <c r="H104" s="471"/>
      <c r="I104" s="471"/>
      <c r="J104" s="208" t="str">
        <f>FHD_NOTE_P_64</f>
        <v/>
      </c>
      <c r="K104" s="469"/>
      <c r="L104" s="1549"/>
      <c r="M104" s="1549"/>
      <c r="R104" s="1549"/>
      <c r="U104" s="470"/>
      <c r="AA104" s="1545"/>
      <c r="AB104" s="1545"/>
      <c r="AC104" s="1545"/>
      <c r="AD104" s="1545"/>
      <c r="AE104" s="1545"/>
    </row>
    <row r="105" spans="1:31" s="1835" customFormat="1" ht="18.75" hidden="1" customHeight="1">
      <c r="A105" s="4838"/>
      <c r="C105" s="1549"/>
      <c r="D105" s="1551"/>
      <c r="E105" s="472" t="str">
        <f>FHD_NUM_P_65</f>
        <v/>
      </c>
      <c r="F105" s="1791" t="str">
        <f>FHD_P_65</f>
        <v/>
      </c>
      <c r="G105" s="1788" t="s">
        <v>718</v>
      </c>
      <c r="H105" s="503"/>
      <c r="I105" s="503"/>
      <c r="J105" s="208" t="str">
        <f>FHD_NOTE_P_65</f>
        <v/>
      </c>
      <c r="K105" s="469"/>
      <c r="L105" s="1549"/>
      <c r="M105" s="1549"/>
      <c r="R105" s="1549"/>
      <c r="U105" s="470"/>
      <c r="AA105" s="1545"/>
      <c r="AB105" s="1545"/>
      <c r="AC105" s="1545"/>
      <c r="AD105" s="1545"/>
      <c r="AE105" s="1545"/>
    </row>
    <row r="106" spans="1:31" s="1835" customFormat="1" ht="18.75" hidden="1" customHeight="1">
      <c r="A106" s="4838"/>
      <c r="C106" s="1549"/>
      <c r="D106" s="1551"/>
      <c r="E106" s="472" t="str">
        <f>FHD_NUM_P_66</f>
        <v/>
      </c>
      <c r="F106" s="1435" t="str">
        <f>FHD_P_66</f>
        <v/>
      </c>
      <c r="G106" s="1788" t="s">
        <v>718</v>
      </c>
      <c r="H106" s="503"/>
      <c r="I106" s="503"/>
      <c r="J106" s="208" t="str">
        <f>FHD_NOTE_P_66</f>
        <v/>
      </c>
      <c r="K106" s="469"/>
      <c r="L106" s="1549"/>
      <c r="M106" s="1549"/>
      <c r="R106" s="1549"/>
      <c r="U106" s="470"/>
      <c r="AA106" s="1545"/>
      <c r="AB106" s="1545"/>
      <c r="AC106" s="1545"/>
      <c r="AD106" s="1545"/>
      <c r="AE106" s="1545"/>
    </row>
    <row r="107" spans="1:31" s="1835" customFormat="1" ht="18.75" hidden="1" customHeight="1">
      <c r="A107" s="4838"/>
      <c r="C107" s="1549"/>
      <c r="D107" s="1551"/>
      <c r="E107" s="472" t="str">
        <f>FHD_NUM_P_67</f>
        <v/>
      </c>
      <c r="F107" s="1562" t="str">
        <f>FHD_P_67</f>
        <v/>
      </c>
      <c r="G107" s="1788" t="s">
        <v>718</v>
      </c>
      <c r="H107" s="503"/>
      <c r="I107" s="503"/>
      <c r="J107" s="208" t="str">
        <f>FHD_NOTE_P_67</f>
        <v/>
      </c>
      <c r="K107" s="469"/>
      <c r="L107" s="1549"/>
      <c r="M107" s="1549"/>
      <c r="R107" s="1549"/>
      <c r="U107" s="470"/>
      <c r="AA107" s="1545"/>
      <c r="AB107" s="1545"/>
      <c r="AC107" s="1545"/>
      <c r="AD107" s="1545"/>
      <c r="AE107" s="1545"/>
    </row>
    <row r="108" spans="1:31" s="1835" customFormat="1" ht="18.75" hidden="1" customHeight="1">
      <c r="A108" s="4838"/>
      <c r="C108" s="1549"/>
      <c r="D108" s="1551"/>
      <c r="E108" s="472" t="str">
        <f>FHD_NUM_P_68</f>
        <v/>
      </c>
      <c r="F108" s="1435" t="str">
        <f>FHD_P_68</f>
        <v/>
      </c>
      <c r="G108" s="1788" t="s">
        <v>718</v>
      </c>
      <c r="H108" s="503"/>
      <c r="I108" s="503"/>
      <c r="J108" s="208" t="str">
        <f>FHD_NOTE_P_68</f>
        <v/>
      </c>
      <c r="K108" s="469"/>
      <c r="L108" s="1549"/>
      <c r="M108" s="1549"/>
      <c r="R108" s="1549"/>
      <c r="U108" s="470"/>
      <c r="AA108" s="1545"/>
      <c r="AB108" s="1545"/>
      <c r="AC108" s="1545"/>
      <c r="AD108" s="1545"/>
      <c r="AE108" s="1545"/>
    </row>
    <row r="109" spans="1:31" s="1835" customFormat="1" ht="18.75" hidden="1" customHeight="1">
      <c r="A109" s="4838"/>
      <c r="C109" s="1549"/>
      <c r="D109" s="1551"/>
      <c r="E109" s="472" t="str">
        <f>FHD_NUM_P_69</f>
        <v/>
      </c>
      <c r="F109" s="1435" t="str">
        <f>FHD_P_69</f>
        <v/>
      </c>
      <c r="G109" s="1788" t="s">
        <v>718</v>
      </c>
      <c r="H109" s="503"/>
      <c r="I109" s="503"/>
      <c r="J109" s="208" t="str">
        <f>FHD_NOTE_P_69</f>
        <v/>
      </c>
      <c r="K109" s="469"/>
      <c r="L109" s="1549"/>
      <c r="M109" s="1549"/>
      <c r="R109" s="1549"/>
      <c r="U109" s="470"/>
      <c r="AA109" s="1545"/>
      <c r="AB109" s="1545"/>
      <c r="AC109" s="1545"/>
      <c r="AD109" s="1545"/>
      <c r="AE109" s="1545"/>
    </row>
    <row r="110" spans="1:31" s="1835" customFormat="1" ht="22.5" hidden="1" customHeight="1">
      <c r="A110" s="4838"/>
      <c r="C110" s="1549"/>
      <c r="D110" s="1551"/>
      <c r="E110" s="472" t="str">
        <f>FHD_NUM_P_70</f>
        <v/>
      </c>
      <c r="F110" s="1791" t="str">
        <f>FHD_P_70</f>
        <v/>
      </c>
      <c r="G110" s="1788" t="s">
        <v>724</v>
      </c>
      <c r="H110" s="483"/>
      <c r="I110" s="483"/>
      <c r="J110" s="208" t="str">
        <f>FHD_NOTE_P_70</f>
        <v/>
      </c>
      <c r="K110" s="469"/>
      <c r="L110" s="1549"/>
      <c r="M110" s="1549"/>
      <c r="R110" s="1549"/>
      <c r="U110" s="470"/>
      <c r="AA110" s="1545"/>
      <c r="AB110" s="1545"/>
      <c r="AC110" s="1545"/>
      <c r="AD110" s="1545"/>
      <c r="AE110" s="1545"/>
    </row>
    <row r="111" spans="1:31" s="1835" customFormat="1" ht="22.5" hidden="1" customHeight="1">
      <c r="A111" s="4838"/>
      <c r="C111" s="1549"/>
      <c r="D111" s="1551"/>
      <c r="E111" s="472" t="str">
        <f>FHD_NUM_P_71</f>
        <v/>
      </c>
      <c r="F111" s="1791" t="str">
        <f>FHD_P_71</f>
        <v/>
      </c>
      <c r="G111" s="1788" t="s">
        <v>724</v>
      </c>
      <c r="H111" s="483"/>
      <c r="I111" s="483"/>
      <c r="J111" s="208" t="str">
        <f>FHD_NOTE_P_71</f>
        <v/>
      </c>
      <c r="K111" s="469"/>
      <c r="L111" s="1549"/>
      <c r="M111" s="1549"/>
      <c r="R111" s="1549"/>
      <c r="U111" s="470"/>
      <c r="AA111" s="1545"/>
      <c r="AB111" s="1545"/>
      <c r="AC111" s="1545"/>
      <c r="AD111" s="1545"/>
      <c r="AE111" s="1545"/>
    </row>
    <row r="112" spans="1:31" ht="18.75" customHeight="1">
      <c r="D112" s="1551"/>
      <c r="E112" s="472" t="str">
        <f>FHD_NUM_P_72</f>
        <v>10</v>
      </c>
      <c r="F112" s="1791" t="str">
        <f>FHD_P_72</f>
        <v>Среднесписочная численность основного производственного персонала</v>
      </c>
      <c r="G112" s="1787" t="s">
        <v>725</v>
      </c>
      <c r="H112" s="503"/>
      <c r="I112" s="503"/>
      <c r="J112" s="208" t="str">
        <f>FHD_NOTE_P_72</f>
        <v/>
      </c>
      <c r="K112" s="469"/>
    </row>
    <row r="113" spans="1:31" ht="18.75" hidden="1" customHeight="1">
      <c r="A113" s="898" t="s">
        <v>726</v>
      </c>
      <c r="D113" s="1551"/>
      <c r="E113" s="472" t="str">
        <f>FHD_NUM_P_73</f>
        <v/>
      </c>
      <c r="F113" s="1791" t="str">
        <f>FHD_P_73</f>
        <v/>
      </c>
      <c r="G113" s="880" t="s">
        <v>725</v>
      </c>
      <c r="H113" s="878"/>
      <c r="I113" s="878"/>
      <c r="J113" s="208" t="str">
        <f>FHD_NOTE_P_73</f>
        <v/>
      </c>
      <c r="K113" s="469"/>
    </row>
    <row r="114" spans="1:31" ht="33.75" hidden="1" customHeight="1">
      <c r="A114" s="898" t="s">
        <v>727</v>
      </c>
      <c r="D114" s="1551"/>
      <c r="E114" s="472" t="str">
        <f>FHD_NUM_P_74</f>
        <v/>
      </c>
      <c r="F114" s="1791" t="str">
        <f>FHD_P_74</f>
        <v/>
      </c>
      <c r="G114" s="1787" t="s">
        <v>728</v>
      </c>
      <c r="H114" s="503"/>
      <c r="I114" s="503"/>
      <c r="J114" s="208" t="str">
        <f>FHD_NOTE_P_74</f>
        <v/>
      </c>
      <c r="K114" s="469"/>
    </row>
    <row r="115" spans="1:31" s="4071" customFormat="1" ht="18.75" hidden="1" customHeight="1">
      <c r="A115" s="4838" t="s">
        <v>729</v>
      </c>
      <c r="B115" s="824"/>
      <c r="C115" s="655"/>
      <c r="D115" s="653"/>
      <c r="E115" s="472" t="str">
        <f>FHD_NUM_P_75</f>
        <v/>
      </c>
      <c r="F115" s="1791" t="str">
        <f>FHD_P_75</f>
        <v/>
      </c>
      <c r="G115" s="1787" t="s">
        <v>693</v>
      </c>
      <c r="H115" s="483"/>
      <c r="I115" s="483"/>
      <c r="J115" s="208" t="str">
        <f>FHD_NOTE_P_75</f>
        <v/>
      </c>
      <c r="K115" s="654"/>
      <c r="L115" s="655"/>
      <c r="M115" s="655"/>
      <c r="N115" s="824"/>
      <c r="O115" s="824"/>
      <c r="P115" s="824"/>
      <c r="Q115" s="824"/>
      <c r="R115" s="655"/>
      <c r="S115" s="824"/>
      <c r="T115" s="824"/>
      <c r="U115" s="656"/>
      <c r="V115" s="824"/>
      <c r="W115" s="824"/>
      <c r="X115" s="824"/>
      <c r="Y115" s="824"/>
      <c r="Z115" s="824"/>
      <c r="AA115" s="657"/>
      <c r="AB115" s="657"/>
      <c r="AC115" s="657"/>
      <c r="AD115" s="657"/>
      <c r="AE115" s="657"/>
    </row>
    <row r="116" spans="1:31" s="4071" customFormat="1" ht="18.75" hidden="1" customHeight="1">
      <c r="A116" s="4838"/>
      <c r="B116" s="824"/>
      <c r="C116" s="655"/>
      <c r="D116" s="653"/>
      <c r="E116" s="472" t="str">
        <f>FHD_NUM_P_76</f>
        <v/>
      </c>
      <c r="F116" s="1791" t="str">
        <f>FHD_P_76</f>
        <v/>
      </c>
      <c r="G116" s="1787" t="s">
        <v>693</v>
      </c>
      <c r="H116" s="483"/>
      <c r="I116" s="483"/>
      <c r="J116" s="208" t="str">
        <f>FHD_NOTE_P_76</f>
        <v/>
      </c>
      <c r="K116" s="654"/>
      <c r="L116" s="655"/>
      <c r="M116" s="655"/>
      <c r="N116" s="824"/>
      <c r="O116" s="824"/>
      <c r="P116" s="824"/>
      <c r="Q116" s="824"/>
      <c r="R116" s="655"/>
      <c r="S116" s="824"/>
      <c r="T116" s="824"/>
      <c r="U116" s="656"/>
      <c r="V116" s="824"/>
      <c r="W116" s="824"/>
      <c r="X116" s="824"/>
      <c r="Y116" s="824"/>
      <c r="Z116" s="824"/>
      <c r="AA116" s="657"/>
      <c r="AB116" s="657"/>
      <c r="AC116" s="657"/>
      <c r="AD116" s="657"/>
      <c r="AE116" s="657"/>
    </row>
    <row r="117" spans="1:31" s="4071" customFormat="1" ht="18.75" hidden="1" customHeight="1">
      <c r="A117" s="4838"/>
      <c r="B117" s="824"/>
      <c r="C117" s="655"/>
      <c r="D117" s="653"/>
      <c r="E117" s="472" t="str">
        <f>FHD_NUM_P_77</f>
        <v/>
      </c>
      <c r="F117" s="1791" t="str">
        <f>FHD_P_77</f>
        <v/>
      </c>
      <c r="G117" s="1787" t="s">
        <v>693</v>
      </c>
      <c r="H117" s="483"/>
      <c r="I117" s="483"/>
      <c r="J117" s="208" t="str">
        <f>FHD_NOTE_P_77</f>
        <v/>
      </c>
      <c r="K117" s="654"/>
      <c r="L117" s="655"/>
      <c r="M117" s="655"/>
      <c r="N117" s="824"/>
      <c r="O117" s="824"/>
      <c r="P117" s="824"/>
      <c r="Q117" s="824"/>
      <c r="R117" s="655"/>
      <c r="S117" s="824"/>
      <c r="T117" s="824"/>
      <c r="U117" s="656"/>
      <c r="V117" s="824"/>
      <c r="W117" s="824"/>
      <c r="X117" s="824"/>
      <c r="Y117" s="824"/>
      <c r="Z117" s="824"/>
      <c r="AA117" s="657"/>
      <c r="AB117" s="657"/>
      <c r="AC117" s="657"/>
      <c r="AD117" s="657"/>
      <c r="AE117" s="657"/>
    </row>
    <row r="118" spans="1:31" s="1834" customFormat="1" ht="0.75" hidden="1" customHeight="1">
      <c r="A118" s="4838"/>
      <c r="D118" s="474"/>
      <c r="E118" s="921" t="str">
        <f>E117&amp;".0"</f>
        <v>.0</v>
      </c>
      <c r="F118" s="906"/>
      <c r="G118" s="1563"/>
      <c r="H118" s="901"/>
      <c r="I118" s="901"/>
      <c r="J118" s="905"/>
    </row>
    <row r="119" spans="1:31" s="4071" customFormat="1" ht="15" hidden="1" customHeight="1">
      <c r="A119" s="4838"/>
      <c r="B119" s="824"/>
      <c r="C119" s="655"/>
      <c r="D119" s="665"/>
      <c r="E119" s="883"/>
      <c r="F119" s="884" t="s">
        <v>730</v>
      </c>
      <c r="G119" s="666"/>
      <c r="H119" s="667"/>
      <c r="I119" s="667"/>
      <c r="J119" s="911" t="s">
        <v>731</v>
      </c>
      <c r="K119" s="654"/>
      <c r="L119" s="655"/>
      <c r="M119" s="655"/>
      <c r="N119" s="824"/>
      <c r="O119" s="824"/>
      <c r="P119" s="824"/>
      <c r="Q119" s="824"/>
      <c r="R119" s="655"/>
      <c r="S119" s="824"/>
      <c r="T119" s="824"/>
      <c r="U119" s="656"/>
      <c r="V119" s="824"/>
      <c r="W119" s="824"/>
      <c r="X119" s="824"/>
      <c r="Y119" s="824"/>
      <c r="Z119" s="824"/>
      <c r="AA119" s="657"/>
      <c r="AB119" s="657"/>
      <c r="AC119" s="657"/>
      <c r="AD119" s="657"/>
      <c r="AE119" s="657"/>
    </row>
    <row r="120" spans="1:31" ht="22.5" hidden="1" customHeight="1">
      <c r="A120" s="4838" t="s">
        <v>732</v>
      </c>
      <c r="D120" s="1551"/>
      <c r="E120" s="472" t="str">
        <f>FHD_NUM_P_78</f>
        <v/>
      </c>
      <c r="F120" s="1791" t="str">
        <f>FHD_P_78</f>
        <v/>
      </c>
      <c r="G120" s="1788" t="s">
        <v>695</v>
      </c>
      <c r="H120" s="503"/>
      <c r="I120" s="503"/>
      <c r="J120" s="208" t="str">
        <f>FHD_NOTE_P_78</f>
        <v/>
      </c>
      <c r="K120" s="469"/>
    </row>
    <row r="121" spans="1:31" s="1834" customFormat="1" ht="0.75" hidden="1" customHeight="1">
      <c r="A121" s="4838"/>
      <c r="D121" s="474"/>
      <c r="E121" s="921" t="str">
        <f>E120&amp;".0"</f>
        <v>.0</v>
      </c>
      <c r="F121" s="906"/>
      <c r="G121" s="1563"/>
      <c r="H121" s="901"/>
      <c r="I121" s="901"/>
      <c r="J121" s="905"/>
    </row>
    <row r="122" spans="1:31" ht="15" hidden="1" customHeight="1">
      <c r="A122" s="4838"/>
      <c r="D122" s="1546"/>
      <c r="E122" s="496"/>
      <c r="F122" s="1069" t="s">
        <v>721</v>
      </c>
      <c r="G122" s="498"/>
      <c r="H122" s="499"/>
      <c r="I122" s="499"/>
      <c r="J122" s="912" t="s">
        <v>733</v>
      </c>
      <c r="K122" s="469"/>
    </row>
    <row r="123" spans="1:31" ht="22.5" hidden="1" customHeight="1">
      <c r="A123" s="4838"/>
      <c r="D123" s="1551"/>
      <c r="E123" s="472" t="str">
        <f>FHD_NUM_P_79</f>
        <v/>
      </c>
      <c r="F123" s="1791" t="str">
        <f>FHD_P_79</f>
        <v/>
      </c>
      <c r="G123" s="1789" t="s">
        <v>697</v>
      </c>
      <c r="H123" s="503"/>
      <c r="I123" s="503"/>
      <c r="J123" s="208" t="str">
        <f>FHD_NOTE_P_79</f>
        <v/>
      </c>
      <c r="K123" s="469"/>
    </row>
    <row r="124" spans="1:31" s="1834" customFormat="1" ht="0.75" hidden="1" customHeight="1">
      <c r="A124" s="4838"/>
      <c r="D124" s="474"/>
      <c r="E124" s="921" t="str">
        <f>E123&amp;".0"</f>
        <v>.0</v>
      </c>
      <c r="F124" s="907"/>
      <c r="G124" s="1563"/>
      <c r="H124" s="901"/>
      <c r="I124" s="901"/>
      <c r="J124" s="905"/>
    </row>
    <row r="125" spans="1:31" ht="15" hidden="1" customHeight="1">
      <c r="A125" s="4838"/>
      <c r="D125" s="1546"/>
      <c r="E125" s="496"/>
      <c r="F125" s="1069" t="s">
        <v>721</v>
      </c>
      <c r="G125" s="498"/>
      <c r="H125" s="499"/>
      <c r="I125" s="499"/>
      <c r="J125" s="912" t="s">
        <v>734</v>
      </c>
      <c r="K125" s="469"/>
    </row>
    <row r="126" spans="1:31" ht="22.5" hidden="1" customHeight="1">
      <c r="A126" s="4838"/>
      <c r="D126" s="1551"/>
      <c r="E126" s="472" t="str">
        <f>FHD_NUM_P_80</f>
        <v/>
      </c>
      <c r="F126" s="1791" t="str">
        <f>FHD_P_80</f>
        <v/>
      </c>
      <c r="G126" s="1789" t="s">
        <v>735</v>
      </c>
      <c r="H126" s="483"/>
      <c r="I126" s="483"/>
      <c r="J126" s="208" t="str">
        <f>FHD_NOTE_P_80</f>
        <v/>
      </c>
      <c r="K126" s="469"/>
    </row>
    <row r="127" spans="1:31" ht="18.75" hidden="1" customHeight="1">
      <c r="A127" s="4838"/>
      <c r="D127" s="1551"/>
      <c r="E127" s="472" t="str">
        <f>FHD_NUM_P_81</f>
        <v/>
      </c>
      <c r="F127" s="1791" t="str">
        <f>FHD_P_81</f>
        <v/>
      </c>
      <c r="G127" s="1789" t="s">
        <v>736</v>
      </c>
      <c r="H127" s="483"/>
      <c r="I127" s="483"/>
      <c r="J127" s="208" t="str">
        <f>FHD_NOTE_P_81</f>
        <v/>
      </c>
      <c r="K127" s="469"/>
    </row>
    <row r="128" spans="1:31" ht="18.75" hidden="1" customHeight="1">
      <c r="A128" s="4838"/>
      <c r="C128" s="1549" t="s">
        <v>723</v>
      </c>
      <c r="D128" s="1551"/>
      <c r="E128" s="472" t="str">
        <f>FHD_NUM_P_82</f>
        <v/>
      </c>
      <c r="F128" s="1791" t="str">
        <f>FHD_P_82</f>
        <v/>
      </c>
      <c r="G128" s="1789" t="s">
        <v>445</v>
      </c>
      <c r="H128" s="336"/>
      <c r="I128" s="336"/>
      <c r="J128" s="208" t="str">
        <f>FHD_NOTE_P_82</f>
        <v/>
      </c>
      <c r="K128" s="469"/>
    </row>
    <row r="129" spans="1:31" ht="18.75" hidden="1" customHeight="1">
      <c r="A129" s="4838"/>
      <c r="C129" s="1549" t="s">
        <v>723</v>
      </c>
      <c r="D129" s="1551"/>
      <c r="E129" s="472" t="str">
        <f>FHD_NUM_P_83</f>
        <v/>
      </c>
      <c r="F129" s="1435" t="str">
        <f>FHD_P_83</f>
        <v/>
      </c>
      <c r="G129" s="1789" t="s">
        <v>445</v>
      </c>
      <c r="H129" s="336"/>
      <c r="I129" s="336"/>
      <c r="J129" s="208" t="str">
        <f>FHD_NOTE_P_83</f>
        <v/>
      </c>
      <c r="K129" s="469"/>
    </row>
    <row r="130" spans="1:31" ht="18.75" hidden="1" customHeight="1">
      <c r="A130" s="4838"/>
      <c r="C130" s="1549" t="s">
        <v>723</v>
      </c>
      <c r="D130" s="1551"/>
      <c r="E130" s="472" t="str">
        <f>FHD_NUM_P_84</f>
        <v/>
      </c>
      <c r="F130" s="1435" t="str">
        <f>FHD_P_84</f>
        <v/>
      </c>
      <c r="G130" s="1789" t="s">
        <v>445</v>
      </c>
      <c r="H130" s="336"/>
      <c r="I130" s="336"/>
      <c r="J130" s="208" t="str">
        <f>FHD_NOTE_P_84</f>
        <v/>
      </c>
      <c r="K130" s="469"/>
    </row>
    <row r="131" spans="1:31" ht="11.25" customHeight="1">
      <c r="D131" s="1551"/>
    </row>
    <row r="132" spans="1:31" ht="12.75" customHeight="1">
      <c r="D132" s="1551"/>
      <c r="E132" s="263"/>
      <c r="F132" s="298"/>
      <c r="G132" s="298"/>
      <c r="H132" s="298"/>
      <c r="I132" s="1559"/>
      <c r="J132" s="507"/>
    </row>
    <row r="133" spans="1:31" s="4069" customFormat="1" ht="11.25" customHeight="1">
      <c r="A133" s="896"/>
      <c r="B133" s="1549"/>
      <c r="C133" s="1549"/>
      <c r="D133" s="277"/>
      <c r="F133" s="1553"/>
      <c r="G133" s="1544"/>
      <c r="H133" s="1544"/>
      <c r="I133" s="1544"/>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406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406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4069" customFormat="1" ht="11.25" customHeight="1">
      <c r="A136" s="896"/>
      <c r="B136" s="1549"/>
      <c r="C136" s="1549"/>
      <c r="D136" s="277"/>
      <c r="H136" s="492" t="str">
        <f>IF(H30-H31&lt;&gt;H72,"WARNING","")</f>
        <v/>
      </c>
      <c r="I136" s="492" t="str">
        <f>IF(I30-I31&lt;&gt;I72,"WARNING","")</f>
        <v/>
      </c>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406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406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406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406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406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406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406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406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406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406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406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406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406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406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406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406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406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406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406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406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406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406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406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406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406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406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406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406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406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406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406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406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406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406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406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406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406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406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406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406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406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406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406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406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406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406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406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406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406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406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406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406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406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406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406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406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406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406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406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4069"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4069"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4069"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4069"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4069"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4069"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4069"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4069"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4069"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5" spans="1:31" s="4069" customFormat="1" ht="11.25" customHeight="1">
      <c r="A205" s="896"/>
      <c r="B205" s="1549"/>
      <c r="C205" s="1549"/>
      <c r="D205" s="277"/>
      <c r="K205" s="1061"/>
      <c r="L205" s="1549"/>
      <c r="M205" s="1549"/>
      <c r="N205" s="1061"/>
      <c r="O205" s="1061"/>
      <c r="P205" s="1061"/>
      <c r="Q205" s="1061"/>
      <c r="R205" s="1549"/>
      <c r="S205" s="1061"/>
      <c r="T205" s="1061"/>
      <c r="U205" s="470"/>
      <c r="V205" s="1061"/>
      <c r="W205" s="1061"/>
      <c r="X205" s="1061"/>
      <c r="Y205" s="1061"/>
      <c r="Z205" s="1061"/>
      <c r="AA205" s="1545"/>
      <c r="AB205" s="492"/>
      <c r="AC205" s="492"/>
      <c r="AD205" s="492"/>
      <c r="AE205" s="492"/>
    </row>
    <row r="206" spans="1:31" s="4069" customFormat="1" ht="11.25" customHeight="1">
      <c r="A206" s="896"/>
      <c r="B206" s="1549"/>
      <c r="C206" s="1549"/>
      <c r="D206" s="277"/>
      <c r="K206" s="1061"/>
      <c r="L206" s="1549"/>
      <c r="M206" s="1549"/>
      <c r="N206" s="1061"/>
      <c r="O206" s="1061"/>
      <c r="P206" s="1061"/>
      <c r="Q206" s="1061"/>
      <c r="R206" s="1549"/>
      <c r="S206" s="1061"/>
      <c r="T206" s="1061"/>
      <c r="U206" s="470"/>
      <c r="V206" s="1061"/>
      <c r="W206" s="1061"/>
      <c r="X206" s="1061"/>
      <c r="Y206" s="1061"/>
      <c r="Z206" s="1061"/>
      <c r="AA206" s="1545"/>
      <c r="AB206" s="492"/>
      <c r="AC206" s="492"/>
      <c r="AD206" s="492"/>
      <c r="AE206" s="492"/>
    </row>
    <row r="207" spans="1:31" s="4069" customFormat="1" ht="11.25" customHeight="1">
      <c r="A207" s="896"/>
      <c r="B207" s="1549"/>
      <c r="C207" s="1549"/>
      <c r="D207" s="277"/>
      <c r="K207" s="1061"/>
      <c r="L207" s="1549"/>
      <c r="M207" s="1549"/>
      <c r="N207" s="1061"/>
      <c r="O207" s="1061"/>
      <c r="P207" s="1061"/>
      <c r="Q207" s="1061"/>
      <c r="R207" s="1549"/>
      <c r="S207" s="1061"/>
      <c r="T207" s="1061"/>
      <c r="U207" s="470"/>
      <c r="V207" s="1061"/>
      <c r="W207" s="1061"/>
      <c r="X207" s="1061"/>
      <c r="Y207" s="1061"/>
      <c r="Z207" s="1061"/>
      <c r="AA207" s="1545"/>
      <c r="AB207" s="492"/>
      <c r="AC207" s="492"/>
      <c r="AD207" s="492"/>
      <c r="AE207" s="492"/>
    </row>
    <row r="208" spans="1:31" s="4069" customFormat="1" ht="11.25" customHeight="1">
      <c r="A208" s="896"/>
      <c r="B208" s="1549"/>
      <c r="C208" s="1549"/>
      <c r="D208" s="277"/>
      <c r="K208" s="1061"/>
      <c r="L208" s="1549"/>
      <c r="M208" s="1549"/>
      <c r="N208" s="1061"/>
      <c r="O208" s="1061"/>
      <c r="P208" s="1061"/>
      <c r="Q208" s="1061"/>
      <c r="R208" s="1549"/>
      <c r="S208" s="1061"/>
      <c r="T208" s="1061"/>
      <c r="U208" s="470"/>
      <c r="V208" s="1061"/>
      <c r="W208" s="1061"/>
      <c r="X208" s="1061"/>
      <c r="Y208" s="1061"/>
      <c r="Z208" s="1061"/>
      <c r="AA208" s="1545"/>
      <c r="AB208" s="492"/>
      <c r="AC208" s="492"/>
      <c r="AD208" s="492"/>
      <c r="AE208" s="492"/>
    </row>
    <row r="209" spans="1:31" s="4069" customFormat="1" ht="11.25" customHeight="1">
      <c r="A209" s="896"/>
      <c r="B209" s="1549"/>
      <c r="C209" s="1549"/>
      <c r="D209" s="277"/>
      <c r="K209" s="1061"/>
      <c r="L209" s="1549"/>
      <c r="M209" s="1549"/>
      <c r="N209" s="1061"/>
      <c r="O209" s="1061"/>
      <c r="P209" s="1061"/>
      <c r="Q209" s="1061"/>
      <c r="R209" s="1549"/>
      <c r="S209" s="1061"/>
      <c r="T209" s="1061"/>
      <c r="U209" s="470"/>
      <c r="V209" s="1061"/>
      <c r="W209" s="1061"/>
      <c r="X209" s="1061"/>
      <c r="Y209" s="1061"/>
      <c r="Z209" s="1061"/>
      <c r="AA209" s="1545"/>
      <c r="AB209" s="492"/>
      <c r="AC209" s="492"/>
      <c r="AD209" s="492"/>
      <c r="AE209" s="492"/>
    </row>
    <row r="210" spans="1:31" s="4069" customFormat="1" ht="11.25" customHeight="1">
      <c r="A210" s="896"/>
      <c r="B210" s="1549"/>
      <c r="C210" s="1549"/>
      <c r="D210" s="277"/>
      <c r="K210" s="1061"/>
      <c r="L210" s="1549"/>
      <c r="M210" s="1549"/>
      <c r="N210" s="1061"/>
      <c r="O210" s="1061"/>
      <c r="P210" s="1061"/>
      <c r="Q210" s="1061"/>
      <c r="R210" s="1549"/>
      <c r="S210" s="1061"/>
      <c r="T210" s="1061"/>
      <c r="U210" s="470"/>
      <c r="V210" s="1061"/>
      <c r="W210" s="1061"/>
      <c r="X210" s="1061"/>
      <c r="Y210" s="1061"/>
      <c r="Z210" s="1061"/>
      <c r="AA210" s="1545"/>
      <c r="AB210" s="492"/>
      <c r="AC210" s="492"/>
      <c r="AD210" s="492"/>
      <c r="AE210" s="492"/>
    </row>
    <row r="211" spans="1:31" s="4069" customFormat="1" ht="11.25" customHeight="1">
      <c r="A211" s="896"/>
      <c r="B211" s="1549"/>
      <c r="C211" s="1549"/>
      <c r="D211" s="277"/>
      <c r="K211" s="1061"/>
      <c r="L211" s="1549"/>
      <c r="M211" s="1549"/>
      <c r="N211" s="1061"/>
      <c r="O211" s="1061"/>
      <c r="P211" s="1061"/>
      <c r="Q211" s="1061"/>
      <c r="R211" s="1549"/>
      <c r="S211" s="1061"/>
      <c r="T211" s="1061"/>
      <c r="U211" s="470"/>
      <c r="V211" s="1061"/>
      <c r="W211" s="1061"/>
      <c r="X211" s="1061"/>
      <c r="Y211" s="1061"/>
      <c r="Z211" s="1061"/>
      <c r="AA211" s="1545"/>
      <c r="AB211" s="492"/>
      <c r="AC211" s="492"/>
      <c r="AD211" s="492"/>
      <c r="AE211" s="492"/>
    </row>
    <row r="212" spans="1:31" s="4069" customFormat="1" ht="11.25" customHeight="1">
      <c r="A212" s="896"/>
      <c r="B212" s="1549"/>
      <c r="C212" s="1549"/>
      <c r="D212" s="277"/>
      <c r="K212" s="1061"/>
      <c r="L212" s="1549"/>
      <c r="M212" s="1549"/>
      <c r="N212" s="1061"/>
      <c r="O212" s="1061"/>
      <c r="P212" s="1061"/>
      <c r="Q212" s="1061"/>
      <c r="R212" s="1549"/>
      <c r="S212" s="1061"/>
      <c r="T212" s="1061"/>
      <c r="U212" s="470"/>
      <c r="V212" s="1061"/>
      <c r="W212" s="1061"/>
      <c r="X212" s="1061"/>
      <c r="Y212" s="1061"/>
      <c r="Z212" s="1061"/>
      <c r="AA212" s="1545"/>
      <c r="AB212" s="492"/>
      <c r="AC212" s="492"/>
      <c r="AD212" s="492"/>
      <c r="AE212" s="492"/>
    </row>
    <row r="213" spans="1:31" s="4069" customFormat="1" ht="11.25" customHeight="1">
      <c r="A213" s="896"/>
      <c r="B213" s="1549"/>
      <c r="C213" s="1549"/>
      <c r="D213" s="277"/>
      <c r="K213" s="1061"/>
      <c r="L213" s="1549"/>
      <c r="M213" s="1549"/>
      <c r="N213" s="1061"/>
      <c r="O213" s="1061"/>
      <c r="P213" s="1061"/>
      <c r="Q213" s="1061"/>
      <c r="R213" s="1549"/>
      <c r="S213" s="1061"/>
      <c r="T213" s="1061"/>
      <c r="U213" s="470"/>
      <c r="V213" s="1061"/>
      <c r="W213" s="1061"/>
      <c r="X213" s="1061"/>
      <c r="Y213" s="1061"/>
      <c r="Z213" s="1061"/>
      <c r="AA213" s="1545"/>
      <c r="AB213" s="492"/>
      <c r="AC213" s="492"/>
      <c r="AD213" s="492"/>
      <c r="AE213" s="492"/>
    </row>
    <row r="214" spans="1:31" s="4069" customFormat="1" ht="11.25" customHeight="1">
      <c r="A214" s="896"/>
      <c r="B214" s="1549"/>
      <c r="C214" s="1549"/>
      <c r="D214" s="277"/>
      <c r="K214" s="1061"/>
      <c r="L214" s="1549"/>
      <c r="M214" s="1549"/>
      <c r="N214" s="1061"/>
      <c r="O214" s="1061"/>
      <c r="P214" s="1061"/>
      <c r="Q214" s="1061"/>
      <c r="R214" s="1549"/>
      <c r="S214" s="1061"/>
      <c r="T214" s="1061"/>
      <c r="U214" s="470"/>
      <c r="V214" s="1061"/>
      <c r="W214" s="1061"/>
      <c r="X214" s="1061"/>
      <c r="Y214" s="1061"/>
      <c r="Z214" s="1061"/>
      <c r="AA214" s="1545"/>
      <c r="AB214" s="492"/>
      <c r="AC214" s="492"/>
      <c r="AD214" s="492"/>
      <c r="AE214" s="492"/>
    </row>
    <row r="215" spans="1:31" s="4069" customFormat="1" ht="11.25" customHeight="1">
      <c r="A215" s="896"/>
      <c r="B215" s="1549"/>
      <c r="C215" s="1549"/>
      <c r="D215" s="277"/>
      <c r="K215" s="1061"/>
      <c r="L215" s="1549"/>
      <c r="M215" s="1549"/>
      <c r="N215" s="1061"/>
      <c r="O215" s="1061"/>
      <c r="P215" s="1061"/>
      <c r="Q215" s="1061"/>
      <c r="R215" s="1549"/>
      <c r="S215" s="1061"/>
      <c r="T215" s="1061"/>
      <c r="U215" s="470"/>
      <c r="V215" s="1061"/>
      <c r="W215" s="1061"/>
      <c r="X215" s="1061"/>
      <c r="Y215" s="1061"/>
      <c r="Z215" s="1061"/>
      <c r="AA215" s="1545"/>
      <c r="AB215" s="492"/>
      <c r="AC215" s="492"/>
      <c r="AD215" s="492"/>
      <c r="AE215" s="492"/>
    </row>
    <row r="216" spans="1:31" s="4069" customFormat="1" ht="11.25" customHeight="1">
      <c r="A216" s="896"/>
      <c r="B216" s="1549"/>
      <c r="C216" s="1549"/>
      <c r="D216" s="277"/>
      <c r="K216" s="1061"/>
      <c r="L216" s="1549"/>
      <c r="M216" s="1549"/>
      <c r="N216" s="1061"/>
      <c r="O216" s="1061"/>
      <c r="P216" s="1061"/>
      <c r="Q216" s="1061"/>
      <c r="R216" s="1549"/>
      <c r="S216" s="1061"/>
      <c r="T216" s="1061"/>
      <c r="U216" s="470"/>
      <c r="V216" s="1061"/>
      <c r="W216" s="1061"/>
      <c r="X216" s="1061"/>
      <c r="Y216" s="1061"/>
      <c r="Z216" s="1061"/>
      <c r="AA216" s="1545"/>
      <c r="AB216" s="492"/>
      <c r="AC216" s="492"/>
      <c r="AD216" s="492"/>
      <c r="AE216" s="492"/>
    </row>
    <row r="217" spans="1:31" s="4069" customFormat="1" ht="11.25" customHeight="1">
      <c r="A217" s="896"/>
      <c r="B217" s="1549"/>
      <c r="C217" s="1549"/>
      <c r="D217" s="277"/>
      <c r="K217" s="1061"/>
      <c r="L217" s="1549"/>
      <c r="M217" s="1549"/>
      <c r="N217" s="1061"/>
      <c r="O217" s="1061"/>
      <c r="P217" s="1061"/>
      <c r="Q217" s="1061"/>
      <c r="R217" s="1549"/>
      <c r="S217" s="1061"/>
      <c r="T217" s="1061"/>
      <c r="U217" s="470"/>
      <c r="V217" s="1061"/>
      <c r="W217" s="1061"/>
      <c r="X217" s="1061"/>
      <c r="Y217" s="1061"/>
      <c r="Z217" s="1061"/>
      <c r="AA217" s="1545"/>
      <c r="AB217" s="492"/>
      <c r="AC217" s="492"/>
      <c r="AD217" s="492"/>
      <c r="AE217" s="492"/>
    </row>
    <row r="218" spans="1:31" s="4069" customFormat="1" ht="11.25" customHeight="1">
      <c r="A218" s="896"/>
      <c r="B218" s="1549"/>
      <c r="C218" s="1549"/>
      <c r="D218" s="277"/>
      <c r="K218" s="1061"/>
      <c r="L218" s="1549"/>
      <c r="M218" s="1549"/>
      <c r="N218" s="1061"/>
      <c r="O218" s="1061"/>
      <c r="P218" s="1061"/>
      <c r="Q218" s="1061"/>
      <c r="R218" s="1549"/>
      <c r="S218" s="1061"/>
      <c r="T218" s="1061"/>
      <c r="U218" s="470"/>
      <c r="V218" s="1061"/>
      <c r="W218" s="1061"/>
      <c r="X218" s="1061"/>
      <c r="Y218" s="1061"/>
      <c r="Z218" s="1061"/>
      <c r="AA218" s="1545"/>
      <c r="AB218" s="492"/>
      <c r="AC218" s="492"/>
      <c r="AD218" s="492"/>
      <c r="AE218" s="492"/>
    </row>
    <row r="219" spans="1:31" s="4069" customFormat="1" ht="11.25" customHeight="1">
      <c r="A219" s="896"/>
      <c r="B219" s="1549"/>
      <c r="C219" s="1549"/>
      <c r="D219" s="277"/>
      <c r="K219" s="1061"/>
      <c r="L219" s="1549"/>
      <c r="M219" s="1549"/>
      <c r="N219" s="1061"/>
      <c r="O219" s="1061"/>
      <c r="P219" s="1061"/>
      <c r="Q219" s="1061"/>
      <c r="R219" s="1549"/>
      <c r="S219" s="1061"/>
      <c r="T219" s="1061"/>
      <c r="U219" s="470"/>
      <c r="V219" s="1061"/>
      <c r="W219" s="1061"/>
      <c r="X219" s="1061"/>
      <c r="Y219" s="1061"/>
      <c r="Z219" s="1061"/>
      <c r="AA219" s="1545"/>
      <c r="AB219" s="492"/>
      <c r="AC219" s="492"/>
      <c r="AD219" s="492"/>
      <c r="AE219" s="492"/>
    </row>
    <row r="220" spans="1:31" s="4069" customFormat="1" ht="11.25" customHeight="1">
      <c r="A220" s="896"/>
      <c r="B220" s="1549"/>
      <c r="C220" s="1549"/>
      <c r="D220" s="277"/>
      <c r="K220" s="1061"/>
      <c r="L220" s="1549"/>
      <c r="M220" s="1549"/>
      <c r="N220" s="1061"/>
      <c r="O220" s="1061"/>
      <c r="P220" s="1061"/>
      <c r="Q220" s="1061"/>
      <c r="R220" s="1549"/>
      <c r="S220" s="1061"/>
      <c r="T220" s="1061"/>
      <c r="U220" s="470"/>
      <c r="V220" s="1061"/>
      <c r="W220" s="1061"/>
      <c r="X220" s="1061"/>
      <c r="Y220" s="1061"/>
      <c r="Z220" s="1061"/>
      <c r="AA220" s="1545"/>
      <c r="AB220" s="492"/>
      <c r="AC220" s="492"/>
      <c r="AD220" s="492"/>
      <c r="AE220" s="492"/>
    </row>
    <row r="221" spans="1:31" s="4069" customFormat="1" ht="11.25" customHeight="1">
      <c r="A221" s="896"/>
      <c r="B221" s="1549"/>
      <c r="C221" s="1549"/>
      <c r="D221" s="277"/>
      <c r="K221" s="1061"/>
      <c r="L221" s="1549"/>
      <c r="M221" s="1549"/>
      <c r="N221" s="1061"/>
      <c r="O221" s="1061"/>
      <c r="P221" s="1061"/>
      <c r="Q221" s="1061"/>
      <c r="R221" s="1549"/>
      <c r="S221" s="1061"/>
      <c r="T221" s="1061"/>
      <c r="U221" s="470"/>
      <c r="V221" s="1061"/>
      <c r="W221" s="1061"/>
      <c r="X221" s="1061"/>
      <c r="Y221" s="1061"/>
      <c r="Z221" s="1061"/>
      <c r="AA221" s="1545"/>
      <c r="AB221" s="492"/>
      <c r="AC221" s="492"/>
      <c r="AD221" s="492"/>
      <c r="AE221" s="492"/>
    </row>
    <row r="222" spans="1:31" s="4069" customFormat="1" ht="11.25" customHeight="1">
      <c r="A222" s="896"/>
      <c r="B222" s="1549"/>
      <c r="C222" s="1549"/>
      <c r="D222" s="277"/>
      <c r="K222" s="1061"/>
      <c r="L222" s="1549"/>
      <c r="M222" s="1549"/>
      <c r="N222" s="1061"/>
      <c r="O222" s="1061"/>
      <c r="P222" s="1061"/>
      <c r="Q222" s="1061"/>
      <c r="R222" s="1549"/>
      <c r="S222" s="1061"/>
      <c r="T222" s="1061"/>
      <c r="U222" s="470"/>
      <c r="V222" s="1061"/>
      <c r="W222" s="1061"/>
      <c r="X222" s="1061"/>
      <c r="Y222" s="1061"/>
      <c r="Z222" s="1061"/>
      <c r="AA222" s="1545"/>
      <c r="AB222" s="492"/>
      <c r="AC222" s="492"/>
      <c r="AD222" s="492"/>
      <c r="AE222" s="492"/>
    </row>
    <row r="223" spans="1:31" s="4069" customFormat="1" ht="11.25" customHeight="1">
      <c r="A223" s="896"/>
      <c r="B223" s="1549"/>
      <c r="C223" s="1549"/>
      <c r="D223" s="277"/>
      <c r="K223" s="1061"/>
      <c r="L223" s="1549"/>
      <c r="M223" s="1549"/>
      <c r="N223" s="1061"/>
      <c r="O223" s="1061"/>
      <c r="P223" s="1061"/>
      <c r="Q223" s="1061"/>
      <c r="R223" s="1549"/>
      <c r="S223" s="1061"/>
      <c r="T223" s="1061"/>
      <c r="U223" s="470"/>
      <c r="V223" s="1061"/>
      <c r="W223" s="1061"/>
      <c r="X223" s="1061"/>
      <c r="Y223" s="1061"/>
      <c r="Z223" s="1061"/>
      <c r="AA223" s="1545"/>
      <c r="AB223" s="492"/>
      <c r="AC223" s="492"/>
      <c r="AD223" s="492"/>
      <c r="AE223" s="492"/>
    </row>
    <row r="224" spans="1:31" s="4069" customFormat="1" ht="11.25" customHeight="1">
      <c r="A224" s="896"/>
      <c r="B224" s="1549"/>
      <c r="C224" s="1549"/>
      <c r="D224" s="277"/>
      <c r="K224" s="1061"/>
      <c r="L224" s="1549"/>
      <c r="M224" s="1549"/>
      <c r="N224" s="1061"/>
      <c r="O224" s="1061"/>
      <c r="P224" s="1061"/>
      <c r="Q224" s="1061"/>
      <c r="R224" s="1549"/>
      <c r="S224" s="1061"/>
      <c r="T224" s="1061"/>
      <c r="U224" s="470"/>
      <c r="V224" s="1061"/>
      <c r="W224" s="1061"/>
      <c r="X224" s="1061"/>
      <c r="Y224" s="1061"/>
      <c r="Z224" s="1061"/>
      <c r="AA224" s="1545"/>
      <c r="AB224" s="492"/>
      <c r="AC224" s="492"/>
      <c r="AD224" s="492"/>
      <c r="AE224" s="492"/>
    </row>
    <row r="225" spans="1:31" s="4069" customFormat="1" ht="11.25" customHeight="1">
      <c r="A225" s="896"/>
      <c r="B225" s="1549"/>
      <c r="C225" s="1549"/>
      <c r="D225" s="277"/>
      <c r="K225" s="1061"/>
      <c r="L225" s="1549"/>
      <c r="M225" s="1549"/>
      <c r="N225" s="1061"/>
      <c r="O225" s="1061"/>
      <c r="P225" s="1061"/>
      <c r="Q225" s="1061"/>
      <c r="R225" s="1549"/>
      <c r="S225" s="1061"/>
      <c r="T225" s="1061"/>
      <c r="U225" s="470"/>
      <c r="V225" s="1061"/>
      <c r="W225" s="1061"/>
      <c r="X225" s="1061"/>
      <c r="Y225" s="1061"/>
      <c r="Z225" s="1061"/>
      <c r="AA225" s="1545"/>
      <c r="AB225" s="492"/>
      <c r="AC225" s="492"/>
      <c r="AD225" s="492"/>
      <c r="AE225" s="492"/>
    </row>
    <row r="226" spans="1:31" s="4069" customFormat="1" ht="11.25" customHeight="1">
      <c r="A226" s="896"/>
      <c r="B226" s="1549"/>
      <c r="C226" s="1549"/>
      <c r="D226" s="277"/>
      <c r="K226" s="1061"/>
      <c r="L226" s="1549"/>
      <c r="M226" s="1549"/>
      <c r="N226" s="1061"/>
      <c r="O226" s="1061"/>
      <c r="P226" s="1061"/>
      <c r="Q226" s="1061"/>
      <c r="R226" s="1549"/>
      <c r="S226" s="1061"/>
      <c r="T226" s="1061"/>
      <c r="U226" s="470"/>
      <c r="V226" s="1061"/>
      <c r="W226" s="1061"/>
      <c r="X226" s="1061"/>
      <c r="Y226" s="1061"/>
      <c r="Z226" s="1061"/>
      <c r="AA226" s="1545"/>
      <c r="AB226" s="492"/>
      <c r="AC226" s="492"/>
      <c r="AD226" s="492"/>
      <c r="AE226" s="492"/>
    </row>
    <row r="227" spans="1:31" s="4069" customFormat="1" ht="11.25" customHeight="1">
      <c r="A227" s="896"/>
      <c r="B227" s="1549"/>
      <c r="C227" s="1549"/>
      <c r="D227" s="277"/>
      <c r="K227" s="1061"/>
      <c r="L227" s="1549"/>
      <c r="M227" s="1549"/>
      <c r="N227" s="1061"/>
      <c r="O227" s="1061"/>
      <c r="P227" s="1061"/>
      <c r="Q227" s="1061"/>
      <c r="R227" s="1549"/>
      <c r="S227" s="1061"/>
      <c r="T227" s="1061"/>
      <c r="U227" s="470"/>
      <c r="V227" s="1061"/>
      <c r="W227" s="1061"/>
      <c r="X227" s="1061"/>
      <c r="Y227" s="1061"/>
      <c r="Z227" s="1061"/>
      <c r="AA227" s="1545"/>
      <c r="AB227" s="492"/>
      <c r="AC227" s="492"/>
      <c r="AD227" s="492"/>
      <c r="AE227" s="492"/>
    </row>
    <row r="228" spans="1:31" s="4069" customFormat="1" ht="11.25" customHeight="1">
      <c r="A228" s="896"/>
      <c r="B228" s="1549"/>
      <c r="C228" s="1549"/>
      <c r="D228" s="277"/>
      <c r="K228" s="1061"/>
      <c r="L228" s="1549"/>
      <c r="M228" s="1549"/>
      <c r="N228" s="1061"/>
      <c r="O228" s="1061"/>
      <c r="P228" s="1061"/>
      <c r="Q228" s="1061"/>
      <c r="R228" s="1549"/>
      <c r="S228" s="1061"/>
      <c r="T228" s="1061"/>
      <c r="U228" s="470"/>
      <c r="V228" s="1061"/>
      <c r="W228" s="1061"/>
      <c r="X228" s="1061"/>
      <c r="Y228" s="1061"/>
      <c r="Z228" s="1061"/>
      <c r="AA228" s="1545"/>
      <c r="AB228" s="492"/>
      <c r="AC228" s="492"/>
      <c r="AD228" s="492"/>
      <c r="AE228" s="492"/>
    </row>
    <row r="229" spans="1:31" s="4069" customFormat="1" ht="11.25" customHeight="1">
      <c r="A229" s="896"/>
      <c r="B229" s="1549"/>
      <c r="C229" s="1549"/>
      <c r="D229" s="277"/>
      <c r="K229" s="1061"/>
      <c r="L229" s="1549"/>
      <c r="M229" s="1549"/>
      <c r="N229" s="1061"/>
      <c r="O229" s="1061"/>
      <c r="P229" s="1061"/>
      <c r="Q229" s="1061"/>
      <c r="R229" s="1549"/>
      <c r="S229" s="1061"/>
      <c r="T229" s="1061"/>
      <c r="U229" s="470"/>
      <c r="V229" s="1061"/>
      <c r="W229" s="1061"/>
      <c r="X229" s="1061"/>
      <c r="Y229" s="1061"/>
      <c r="Z229" s="1061"/>
      <c r="AA229" s="1545"/>
      <c r="AB229" s="492"/>
      <c r="AC229" s="492"/>
      <c r="AD229" s="492"/>
      <c r="AE229" s="492"/>
    </row>
    <row r="230" spans="1:31" s="4069" customFormat="1" ht="11.25" customHeight="1">
      <c r="A230" s="896"/>
      <c r="B230" s="1549"/>
      <c r="C230" s="1549"/>
      <c r="D230" s="277"/>
      <c r="K230" s="1061"/>
      <c r="L230" s="1549"/>
      <c r="M230" s="1549"/>
      <c r="N230" s="1061"/>
      <c r="O230" s="1061"/>
      <c r="P230" s="1061"/>
      <c r="Q230" s="1061"/>
      <c r="R230" s="1549"/>
      <c r="S230" s="1061"/>
      <c r="T230" s="1061"/>
      <c r="U230" s="470"/>
      <c r="V230" s="1061"/>
      <c r="W230" s="1061"/>
      <c r="X230" s="1061"/>
      <c r="Y230" s="1061"/>
      <c r="Z230" s="1061"/>
      <c r="AA230" s="1545"/>
      <c r="AB230" s="492"/>
      <c r="AC230" s="492"/>
      <c r="AD230" s="492"/>
      <c r="AE230" s="492"/>
    </row>
    <row r="231" spans="1:31" s="4069" customFormat="1" ht="11.25" customHeight="1">
      <c r="A231" s="896"/>
      <c r="B231" s="1549"/>
      <c r="C231" s="1549"/>
      <c r="D231" s="277"/>
      <c r="K231" s="1061"/>
      <c r="L231" s="1549"/>
      <c r="M231" s="1549"/>
      <c r="N231" s="1061"/>
      <c r="O231" s="1061"/>
      <c r="P231" s="1061"/>
      <c r="Q231" s="1061"/>
      <c r="R231" s="1549"/>
      <c r="S231" s="1061"/>
      <c r="T231" s="1061"/>
      <c r="U231" s="470"/>
      <c r="V231" s="1061"/>
      <c r="W231" s="1061"/>
      <c r="X231" s="1061"/>
      <c r="Y231" s="1061"/>
      <c r="Z231" s="1061"/>
      <c r="AA231" s="1545"/>
      <c r="AB231" s="492"/>
      <c r="AC231" s="492"/>
      <c r="AD231" s="492"/>
      <c r="AE231" s="492"/>
    </row>
    <row r="232" spans="1:31" s="4069" customFormat="1" ht="11.25" customHeight="1">
      <c r="A232" s="896"/>
      <c r="B232" s="1549"/>
      <c r="C232" s="1549"/>
      <c r="D232" s="277"/>
      <c r="K232" s="1061"/>
      <c r="L232" s="1549"/>
      <c r="M232" s="1549"/>
      <c r="N232" s="1061"/>
      <c r="O232" s="1061"/>
      <c r="P232" s="1061"/>
      <c r="Q232" s="1061"/>
      <c r="R232" s="1549"/>
      <c r="S232" s="1061"/>
      <c r="T232" s="1061"/>
      <c r="U232" s="470"/>
      <c r="V232" s="1061"/>
      <c r="W232" s="1061"/>
      <c r="X232" s="1061"/>
      <c r="Y232" s="1061"/>
      <c r="Z232" s="1061"/>
      <c r="AA232" s="1545"/>
      <c r="AB232" s="492"/>
      <c r="AC232" s="492"/>
      <c r="AD232" s="492"/>
      <c r="AE232" s="492"/>
    </row>
    <row r="233" spans="1:31" s="4069" customFormat="1" ht="11.25" customHeight="1">
      <c r="A233" s="896"/>
      <c r="B233" s="1549"/>
      <c r="C233" s="1549"/>
      <c r="D233" s="277"/>
      <c r="K233" s="1061"/>
      <c r="L233" s="1549"/>
      <c r="M233" s="1549"/>
      <c r="N233" s="1061"/>
      <c r="O233" s="1061"/>
      <c r="P233" s="1061"/>
      <c r="Q233" s="1061"/>
      <c r="R233" s="1549"/>
      <c r="S233" s="1061"/>
      <c r="T233" s="1061"/>
      <c r="U233" s="470"/>
      <c r="V233" s="1061"/>
      <c r="W233" s="1061"/>
      <c r="X233" s="1061"/>
      <c r="Y233" s="1061"/>
      <c r="Z233" s="1061"/>
      <c r="AA233" s="1545"/>
      <c r="AB233" s="492"/>
      <c r="AC233" s="492"/>
      <c r="AD233" s="492"/>
      <c r="AE233" s="492"/>
    </row>
    <row r="234" spans="1:31" s="4069" customFormat="1" ht="11.25" customHeight="1">
      <c r="A234" s="896"/>
      <c r="B234" s="1549"/>
      <c r="C234" s="1549"/>
      <c r="D234" s="277"/>
      <c r="K234" s="1061"/>
      <c r="L234" s="1549"/>
      <c r="M234" s="1549"/>
      <c r="N234" s="1061"/>
      <c r="O234" s="1061"/>
      <c r="P234" s="1061"/>
      <c r="Q234" s="1061"/>
      <c r="R234" s="1549"/>
      <c r="S234" s="1061"/>
      <c r="T234" s="1061"/>
      <c r="U234" s="470"/>
      <c r="V234" s="1061"/>
      <c r="W234" s="1061"/>
      <c r="X234" s="1061"/>
      <c r="Y234" s="1061"/>
      <c r="Z234" s="1061"/>
      <c r="AA234" s="1545"/>
      <c r="AB234" s="492"/>
      <c r="AC234" s="492"/>
      <c r="AD234" s="492"/>
      <c r="AE234" s="492"/>
    </row>
    <row r="235" spans="1:31" s="4069" customFormat="1" ht="11.25" customHeight="1">
      <c r="A235" s="896"/>
      <c r="B235" s="1549"/>
      <c r="C235" s="1549"/>
      <c r="D235" s="277"/>
      <c r="K235" s="1061"/>
      <c r="L235" s="1549"/>
      <c r="M235" s="1549"/>
      <c r="N235" s="1061"/>
      <c r="O235" s="1061"/>
      <c r="P235" s="1061"/>
      <c r="Q235" s="1061"/>
      <c r="R235" s="1549"/>
      <c r="S235" s="1061"/>
      <c r="T235" s="1061"/>
      <c r="U235" s="470"/>
      <c r="V235" s="1061"/>
      <c r="W235" s="1061"/>
      <c r="X235" s="1061"/>
      <c r="Y235" s="1061"/>
      <c r="Z235" s="1061"/>
      <c r="AA235" s="1545"/>
      <c r="AB235" s="492"/>
      <c r="AC235" s="492"/>
      <c r="AD235" s="492"/>
      <c r="AE235" s="492"/>
    </row>
    <row r="236" spans="1:31" s="4069" customFormat="1" ht="11.25" customHeight="1">
      <c r="A236" s="896"/>
      <c r="B236" s="1549"/>
      <c r="C236" s="1549"/>
      <c r="D236" s="277"/>
      <c r="K236" s="1061"/>
      <c r="L236" s="1549"/>
      <c r="M236" s="1549"/>
      <c r="N236" s="1061"/>
      <c r="O236" s="1061"/>
      <c r="P236" s="1061"/>
      <c r="Q236" s="1061"/>
      <c r="R236" s="1549"/>
      <c r="S236" s="1061"/>
      <c r="T236" s="1061"/>
      <c r="U236" s="470"/>
      <c r="V236" s="1061"/>
      <c r="W236" s="1061"/>
      <c r="X236" s="1061"/>
      <c r="Y236" s="1061"/>
      <c r="Z236" s="1061"/>
      <c r="AA236" s="1545"/>
      <c r="AB236" s="492"/>
      <c r="AC236" s="492"/>
      <c r="AD236" s="492"/>
      <c r="AE236" s="492"/>
    </row>
    <row r="237" spans="1:31" s="4069" customFormat="1" ht="11.25" customHeight="1">
      <c r="A237" s="896"/>
      <c r="B237" s="1549"/>
      <c r="C237" s="1549"/>
      <c r="D237" s="277"/>
      <c r="K237" s="1061"/>
      <c r="L237" s="1549"/>
      <c r="M237" s="1549"/>
      <c r="N237" s="1061"/>
      <c r="O237" s="1061"/>
      <c r="P237" s="1061"/>
      <c r="Q237" s="1061"/>
      <c r="R237" s="1549"/>
      <c r="S237" s="1061"/>
      <c r="T237" s="1061"/>
      <c r="U237" s="470"/>
      <c r="V237" s="1061"/>
      <c r="W237" s="1061"/>
      <c r="X237" s="1061"/>
      <c r="Y237" s="1061"/>
      <c r="Z237" s="1061"/>
      <c r="AA237" s="1545"/>
      <c r="AB237" s="492"/>
      <c r="AC237" s="492"/>
      <c r="AD237" s="492"/>
      <c r="AE237" s="492"/>
    </row>
    <row r="238" spans="1:31" s="4069" customFormat="1" ht="11.25" customHeight="1">
      <c r="A238" s="896"/>
      <c r="B238" s="1549"/>
      <c r="C238" s="1549"/>
      <c r="D238" s="277"/>
      <c r="K238" s="1061"/>
      <c r="L238" s="1549"/>
      <c r="M238" s="1549"/>
      <c r="N238" s="1061"/>
      <c r="O238" s="1061"/>
      <c r="P238" s="1061"/>
      <c r="Q238" s="1061"/>
      <c r="R238" s="1549"/>
      <c r="S238" s="1061"/>
      <c r="T238" s="1061"/>
      <c r="U238" s="470"/>
      <c r="V238" s="1061"/>
      <c r="W238" s="1061"/>
      <c r="X238" s="1061"/>
      <c r="Y238" s="1061"/>
      <c r="Z238" s="1061"/>
      <c r="AA238" s="1545"/>
      <c r="AB238" s="492"/>
      <c r="AC238" s="492"/>
      <c r="AD238" s="492"/>
      <c r="AE238" s="492"/>
    </row>
    <row r="239" spans="1:31" s="4069" customFormat="1" ht="11.25" customHeight="1">
      <c r="A239" s="896"/>
      <c r="B239" s="1549"/>
      <c r="C239" s="1549"/>
      <c r="D239" s="277"/>
      <c r="K239" s="1061"/>
      <c r="L239" s="1549"/>
      <c r="M239" s="1549"/>
      <c r="N239" s="1061"/>
      <c r="O239" s="1061"/>
      <c r="P239" s="1061"/>
      <c r="Q239" s="1061"/>
      <c r="R239" s="1549"/>
      <c r="S239" s="1061"/>
      <c r="T239" s="1061"/>
      <c r="U239" s="470"/>
      <c r="V239" s="1061"/>
      <c r="W239" s="1061"/>
      <c r="X239" s="1061"/>
      <c r="Y239" s="1061"/>
      <c r="Z239" s="1061"/>
      <c r="AA239" s="1545"/>
      <c r="AB239" s="492"/>
      <c r="AC239" s="492"/>
      <c r="AD239" s="492"/>
      <c r="AE239" s="492"/>
    </row>
    <row r="240" spans="1:31" s="4069" customFormat="1" ht="11.25" customHeight="1">
      <c r="A240" s="896"/>
      <c r="B240" s="1549"/>
      <c r="C240" s="1549"/>
      <c r="D240" s="277"/>
      <c r="K240" s="1061"/>
      <c r="L240" s="1549"/>
      <c r="M240" s="1549"/>
      <c r="N240" s="1061"/>
      <c r="O240" s="1061"/>
      <c r="P240" s="1061"/>
      <c r="Q240" s="1061"/>
      <c r="R240" s="1549"/>
      <c r="S240" s="1061"/>
      <c r="T240" s="1061"/>
      <c r="U240" s="470"/>
      <c r="V240" s="1061"/>
      <c r="W240" s="1061"/>
      <c r="X240" s="1061"/>
      <c r="Y240" s="1061"/>
      <c r="Z240" s="1061"/>
      <c r="AA240" s="1545"/>
      <c r="AB240" s="492"/>
      <c r="AC240" s="492"/>
      <c r="AD240" s="492"/>
      <c r="AE240" s="492"/>
    </row>
    <row r="241" spans="1:31" s="4069" customFormat="1" ht="11.25" customHeight="1">
      <c r="A241" s="896"/>
      <c r="B241" s="1549"/>
      <c r="C241" s="1549"/>
      <c r="D241" s="277"/>
      <c r="K241" s="1061"/>
      <c r="L241" s="1549"/>
      <c r="M241" s="1549"/>
      <c r="N241" s="1061"/>
      <c r="O241" s="1061"/>
      <c r="P241" s="1061"/>
      <c r="Q241" s="1061"/>
      <c r="R241" s="1549"/>
      <c r="S241" s="1061"/>
      <c r="T241" s="1061"/>
      <c r="U241" s="470"/>
      <c r="V241" s="1061"/>
      <c r="W241" s="1061"/>
      <c r="X241" s="1061"/>
      <c r="Y241" s="1061"/>
      <c r="Z241" s="1061"/>
      <c r="AA241" s="1545"/>
      <c r="AB241" s="492"/>
      <c r="AC241" s="492"/>
      <c r="AD241" s="492"/>
      <c r="AE241" s="492"/>
    </row>
    <row r="242" spans="1:31" s="4069" customFormat="1" ht="11.25" customHeight="1">
      <c r="A242" s="896"/>
      <c r="B242" s="1549"/>
      <c r="C242" s="1549"/>
      <c r="D242" s="277"/>
      <c r="K242" s="1061"/>
      <c r="L242" s="1549"/>
      <c r="M242" s="1549"/>
      <c r="N242" s="1061"/>
      <c r="O242" s="1061"/>
      <c r="P242" s="1061"/>
      <c r="Q242" s="1061"/>
      <c r="R242" s="1549"/>
      <c r="S242" s="1061"/>
      <c r="T242" s="1061"/>
      <c r="U242" s="470"/>
      <c r="V242" s="1061"/>
      <c r="W242" s="1061"/>
      <c r="X242" s="1061"/>
      <c r="Y242" s="1061"/>
      <c r="Z242" s="1061"/>
      <c r="AA242" s="1545"/>
      <c r="AB242" s="492"/>
      <c r="AC242" s="492"/>
      <c r="AD242" s="492"/>
      <c r="AE242" s="492"/>
    </row>
    <row r="243" spans="1:31" s="4069" customFormat="1" ht="11.25" customHeight="1">
      <c r="A243" s="896"/>
      <c r="B243" s="1549"/>
      <c r="C243" s="1549"/>
      <c r="D243" s="277"/>
      <c r="K243" s="1061"/>
      <c r="L243" s="1549"/>
      <c r="M243" s="1549"/>
      <c r="N243" s="1061"/>
      <c r="O243" s="1061"/>
      <c r="P243" s="1061"/>
      <c r="Q243" s="1061"/>
      <c r="R243" s="1549"/>
      <c r="S243" s="1061"/>
      <c r="T243" s="1061"/>
      <c r="U243" s="470"/>
      <c r="V243" s="1061"/>
      <c r="W243" s="1061"/>
      <c r="X243" s="1061"/>
      <c r="Y243" s="1061"/>
      <c r="Z243" s="1061"/>
      <c r="AA243" s="1545"/>
      <c r="AB243" s="492"/>
      <c r="AC243" s="492"/>
      <c r="AD243" s="492"/>
      <c r="AE243" s="492"/>
    </row>
    <row r="244" spans="1:31" s="4069" customFormat="1" ht="11.25" customHeight="1">
      <c r="A244" s="896"/>
      <c r="B244" s="1549"/>
      <c r="C244" s="1549"/>
      <c r="D244" s="277"/>
      <c r="K244" s="1061"/>
      <c r="L244" s="1549"/>
      <c r="M244" s="1549"/>
      <c r="N244" s="1061"/>
      <c r="O244" s="1061"/>
      <c r="P244" s="1061"/>
      <c r="Q244" s="1061"/>
      <c r="R244" s="1549"/>
      <c r="S244" s="1061"/>
      <c r="T244" s="1061"/>
      <c r="U244" s="470"/>
      <c r="V244" s="1061"/>
      <c r="W244" s="1061"/>
      <c r="X244" s="1061"/>
      <c r="Y244" s="1061"/>
      <c r="Z244" s="1061"/>
      <c r="AA244" s="1545"/>
      <c r="AB244" s="492"/>
      <c r="AC244" s="492"/>
      <c r="AD244" s="492"/>
      <c r="AE244" s="492"/>
    </row>
    <row r="245" spans="1:31" s="4069" customFormat="1" ht="11.25" customHeight="1">
      <c r="A245" s="896"/>
      <c r="B245" s="1549"/>
      <c r="C245" s="1549"/>
      <c r="D245" s="277"/>
      <c r="K245" s="1061"/>
      <c r="L245" s="1549"/>
      <c r="M245" s="1549"/>
      <c r="N245" s="1061"/>
      <c r="O245" s="1061"/>
      <c r="P245" s="1061"/>
      <c r="Q245" s="1061"/>
      <c r="R245" s="1549"/>
      <c r="S245" s="1061"/>
      <c r="T245" s="1061"/>
      <c r="U245" s="470"/>
      <c r="V245" s="1061"/>
      <c r="W245" s="1061"/>
      <c r="X245" s="1061"/>
      <c r="Y245" s="1061"/>
      <c r="Z245" s="1061"/>
      <c r="AA245" s="1545"/>
      <c r="AB245" s="492"/>
      <c r="AC245" s="492"/>
      <c r="AD245" s="492"/>
      <c r="AE245" s="492"/>
    </row>
    <row r="246" spans="1:31" s="4069" customFormat="1" ht="11.25" customHeight="1">
      <c r="A246" s="896"/>
      <c r="B246" s="1549"/>
      <c r="C246" s="1549"/>
      <c r="D246" s="277"/>
      <c r="K246" s="1061"/>
      <c r="L246" s="1549"/>
      <c r="M246" s="1549"/>
      <c r="N246" s="1061"/>
      <c r="O246" s="1061"/>
      <c r="P246" s="1061"/>
      <c r="Q246" s="1061"/>
      <c r="R246" s="1549"/>
      <c r="S246" s="1061"/>
      <c r="T246" s="1061"/>
      <c r="U246" s="470"/>
      <c r="V246" s="1061"/>
      <c r="W246" s="1061"/>
      <c r="X246" s="1061"/>
      <c r="Y246" s="1061"/>
      <c r="Z246" s="1061"/>
      <c r="AA246" s="1545"/>
      <c r="AB246" s="492"/>
      <c r="AC246" s="492"/>
      <c r="AD246" s="492"/>
      <c r="AE246" s="492"/>
    </row>
    <row r="247" spans="1:31" s="4069" customFormat="1" ht="11.25" customHeight="1">
      <c r="A247" s="896"/>
      <c r="B247" s="1549"/>
      <c r="C247" s="1549"/>
      <c r="D247" s="277"/>
      <c r="K247" s="1061"/>
      <c r="L247" s="1549"/>
      <c r="M247" s="1549"/>
      <c r="N247" s="1061"/>
      <c r="O247" s="1061"/>
      <c r="P247" s="1061"/>
      <c r="Q247" s="1061"/>
      <c r="R247" s="1549"/>
      <c r="S247" s="1061"/>
      <c r="T247" s="1061"/>
      <c r="U247" s="470"/>
      <c r="V247" s="1061"/>
      <c r="W247" s="1061"/>
      <c r="X247" s="1061"/>
      <c r="Y247" s="1061"/>
      <c r="Z247" s="1061"/>
      <c r="AA247" s="1545"/>
      <c r="AB247" s="492"/>
      <c r="AC247" s="492"/>
      <c r="AD247" s="492"/>
      <c r="AE247" s="492"/>
    </row>
    <row r="248" spans="1:31" s="4069" customFormat="1" ht="11.25" customHeight="1">
      <c r="A248" s="896"/>
      <c r="B248" s="1549"/>
      <c r="C248" s="1549"/>
      <c r="D248" s="277"/>
      <c r="K248" s="1061"/>
      <c r="L248" s="1549"/>
      <c r="M248" s="1549"/>
      <c r="N248" s="1061"/>
      <c r="O248" s="1061"/>
      <c r="P248" s="1061"/>
      <c r="Q248" s="1061"/>
      <c r="R248" s="1549"/>
      <c r="S248" s="1061"/>
      <c r="T248" s="1061"/>
      <c r="U248" s="470"/>
      <c r="V248" s="1061"/>
      <c r="W248" s="1061"/>
      <c r="X248" s="1061"/>
      <c r="Y248" s="1061"/>
      <c r="Z248" s="1061"/>
      <c r="AA248" s="1545"/>
      <c r="AB248" s="492"/>
      <c r="AC248" s="492"/>
      <c r="AD248" s="492"/>
      <c r="AE248" s="492"/>
    </row>
    <row r="249" spans="1:31" s="4069" customFormat="1" ht="11.25" customHeight="1">
      <c r="A249" s="896"/>
      <c r="B249" s="1549"/>
      <c r="C249" s="1549"/>
      <c r="D249" s="277"/>
      <c r="K249" s="1061"/>
      <c r="L249" s="1549"/>
      <c r="M249" s="1549"/>
      <c r="N249" s="1061"/>
      <c r="O249" s="1061"/>
      <c r="P249" s="1061"/>
      <c r="Q249" s="1061"/>
      <c r="R249" s="1549"/>
      <c r="S249" s="1061"/>
      <c r="T249" s="1061"/>
      <c r="U249" s="470"/>
      <c r="V249" s="1061"/>
      <c r="W249" s="1061"/>
      <c r="X249" s="1061"/>
      <c r="Y249" s="1061"/>
      <c r="Z249" s="1061"/>
      <c r="AA249" s="1545"/>
      <c r="AB249" s="492"/>
      <c r="AC249" s="492"/>
      <c r="AD249" s="492"/>
      <c r="AE249" s="492"/>
    </row>
    <row r="250" spans="1:31" s="4069" customFormat="1" ht="11.25" customHeight="1">
      <c r="A250" s="896"/>
      <c r="B250" s="1549"/>
      <c r="C250" s="1549"/>
      <c r="D250" s="277"/>
      <c r="K250" s="1061"/>
      <c r="L250" s="1549"/>
      <c r="M250" s="1549"/>
      <c r="N250" s="1061"/>
      <c r="O250" s="1061"/>
      <c r="P250" s="1061"/>
      <c r="Q250" s="1061"/>
      <c r="R250" s="1549"/>
      <c r="S250" s="1061"/>
      <c r="T250" s="1061"/>
      <c r="U250" s="470"/>
      <c r="V250" s="1061"/>
      <c r="W250" s="1061"/>
      <c r="X250" s="1061"/>
      <c r="Y250" s="1061"/>
      <c r="Z250" s="1061"/>
      <c r="AA250" s="1545"/>
      <c r="AB250" s="492"/>
      <c r="AC250" s="492"/>
      <c r="AD250" s="492"/>
      <c r="AE250" s="492"/>
    </row>
    <row r="251" spans="1:31" s="4069" customFormat="1" ht="11.25" customHeight="1">
      <c r="A251" s="896"/>
      <c r="B251" s="1549"/>
      <c r="C251" s="1549"/>
      <c r="D251" s="277"/>
      <c r="K251" s="1061"/>
      <c r="L251" s="1549"/>
      <c r="M251" s="1549"/>
      <c r="N251" s="1061"/>
      <c r="O251" s="1061"/>
      <c r="P251" s="1061"/>
      <c r="Q251" s="1061"/>
      <c r="R251" s="1549"/>
      <c r="S251" s="1061"/>
      <c r="T251" s="1061"/>
      <c r="U251" s="470"/>
      <c r="V251" s="1061"/>
      <c r="W251" s="1061"/>
      <c r="X251" s="1061"/>
      <c r="Y251" s="1061"/>
      <c r="Z251" s="1061"/>
      <c r="AA251" s="1545"/>
      <c r="AB251" s="492"/>
      <c r="AC251" s="492"/>
      <c r="AD251" s="492"/>
      <c r="AE251" s="492"/>
    </row>
    <row r="252" spans="1:31" s="4069" customFormat="1" ht="11.25" customHeight="1">
      <c r="A252" s="896"/>
      <c r="B252" s="1549"/>
      <c r="C252" s="1549"/>
      <c r="D252" s="277"/>
      <c r="K252" s="1061"/>
      <c r="L252" s="1549"/>
      <c r="M252" s="1549"/>
      <c r="N252" s="1061"/>
      <c r="O252" s="1061"/>
      <c r="P252" s="1061"/>
      <c r="Q252" s="1061"/>
      <c r="R252" s="1549"/>
      <c r="S252" s="1061"/>
      <c r="T252" s="1061"/>
      <c r="U252" s="470"/>
      <c r="V252" s="1061"/>
      <c r="W252" s="1061"/>
      <c r="X252" s="1061"/>
      <c r="Y252" s="1061"/>
      <c r="Z252" s="1061"/>
      <c r="AA252" s="1545"/>
      <c r="AB252" s="492"/>
      <c r="AC252" s="492"/>
      <c r="AD252" s="492"/>
      <c r="AE252" s="492"/>
    </row>
    <row r="253" spans="1:31" s="4069" customFormat="1" ht="11.25" customHeight="1">
      <c r="A253" s="896"/>
      <c r="B253" s="1549"/>
      <c r="C253" s="1549"/>
      <c r="D253" s="277"/>
      <c r="K253" s="1061"/>
      <c r="L253" s="1549"/>
      <c r="M253" s="1549"/>
      <c r="N253" s="1061"/>
      <c r="O253" s="1061"/>
      <c r="P253" s="1061"/>
      <c r="Q253" s="1061"/>
      <c r="R253" s="1549"/>
      <c r="S253" s="1061"/>
      <c r="T253" s="1061"/>
      <c r="U253" s="470"/>
      <c r="V253" s="1061"/>
      <c r="W253" s="1061"/>
      <c r="X253" s="1061"/>
      <c r="Y253" s="1061"/>
      <c r="Z253" s="1061"/>
      <c r="AA253" s="1545"/>
      <c r="AB253" s="492"/>
      <c r="AC253" s="492"/>
      <c r="AD253" s="492"/>
      <c r="AE253" s="492"/>
    </row>
    <row r="254" spans="1:31" s="4069" customFormat="1" ht="11.25" customHeight="1">
      <c r="A254" s="896"/>
      <c r="B254" s="1549"/>
      <c r="C254" s="1549"/>
      <c r="D254" s="277"/>
      <c r="K254" s="1061"/>
      <c r="L254" s="1549"/>
      <c r="M254" s="1549"/>
      <c r="N254" s="1061"/>
      <c r="O254" s="1061"/>
      <c r="P254" s="1061"/>
      <c r="Q254" s="1061"/>
      <c r="R254" s="1549"/>
      <c r="S254" s="1061"/>
      <c r="T254" s="1061"/>
      <c r="U254" s="470"/>
      <c r="V254" s="1061"/>
      <c r="W254" s="1061"/>
      <c r="X254" s="1061"/>
      <c r="Y254" s="1061"/>
      <c r="Z254" s="1061"/>
      <c r="AA254" s="1545"/>
      <c r="AB254" s="492"/>
      <c r="AC254" s="492"/>
      <c r="AD254" s="492"/>
      <c r="AE254" s="492"/>
    </row>
    <row r="255" spans="1:31" s="4069" customFormat="1" ht="11.25" customHeight="1">
      <c r="A255" s="896"/>
      <c r="B255" s="1549"/>
      <c r="C255" s="1549"/>
      <c r="D255" s="277"/>
      <c r="K255" s="1061"/>
      <c r="L255" s="1549"/>
      <c r="M255" s="1549"/>
      <c r="N255" s="1061"/>
      <c r="O255" s="1061"/>
      <c r="P255" s="1061"/>
      <c r="Q255" s="1061"/>
      <c r="R255" s="1549"/>
      <c r="S255" s="1061"/>
      <c r="T255" s="1061"/>
      <c r="U255" s="470"/>
      <c r="V255" s="1061"/>
      <c r="W255" s="1061"/>
      <c r="X255" s="1061"/>
      <c r="Y255" s="1061"/>
      <c r="Z255" s="1061"/>
      <c r="AA255" s="1545"/>
      <c r="AB255" s="492"/>
      <c r="AC255" s="492"/>
      <c r="AD255" s="492"/>
      <c r="AE255" s="492"/>
    </row>
    <row r="256" spans="1:31" s="4069" customFormat="1" ht="11.25" customHeight="1">
      <c r="A256" s="896"/>
      <c r="B256" s="1549"/>
      <c r="C256" s="1549"/>
      <c r="D256" s="277"/>
      <c r="K256" s="1061"/>
      <c r="L256" s="1549"/>
      <c r="M256" s="1549"/>
      <c r="N256" s="1061"/>
      <c r="O256" s="1061"/>
      <c r="P256" s="1061"/>
      <c r="Q256" s="1061"/>
      <c r="R256" s="1549"/>
      <c r="S256" s="1061"/>
      <c r="T256" s="1061"/>
      <c r="U256" s="470"/>
      <c r="V256" s="1061"/>
      <c r="W256" s="1061"/>
      <c r="X256" s="1061"/>
      <c r="Y256" s="1061"/>
      <c r="Z256" s="1061"/>
      <c r="AA256" s="1545"/>
      <c r="AB256" s="492"/>
      <c r="AC256" s="492"/>
      <c r="AD256" s="492"/>
      <c r="AE256" s="492"/>
    </row>
    <row r="257" spans="1:31" s="4069" customFormat="1" ht="11.25" customHeight="1">
      <c r="A257" s="896"/>
      <c r="B257" s="1549"/>
      <c r="C257" s="1549"/>
      <c r="D257" s="277"/>
      <c r="K257" s="1061"/>
      <c r="L257" s="1549"/>
      <c r="M257" s="1549"/>
      <c r="N257" s="1061"/>
      <c r="O257" s="1061"/>
      <c r="P257" s="1061"/>
      <c r="Q257" s="1061"/>
      <c r="R257" s="1549"/>
      <c r="S257" s="1061"/>
      <c r="T257" s="1061"/>
      <c r="U257" s="470"/>
      <c r="V257" s="1061"/>
      <c r="W257" s="1061"/>
      <c r="X257" s="1061"/>
      <c r="Y257" s="1061"/>
      <c r="Z257" s="1061"/>
      <c r="AA257" s="1545"/>
      <c r="AB257" s="492"/>
      <c r="AC257" s="492"/>
      <c r="AD257" s="492"/>
      <c r="AE257" s="492"/>
    </row>
    <row r="258" spans="1:31" s="4069" customFormat="1" ht="11.25" customHeight="1">
      <c r="A258" s="896"/>
      <c r="B258" s="1549"/>
      <c r="C258" s="1549"/>
      <c r="D258" s="277"/>
      <c r="K258" s="1061"/>
      <c r="L258" s="1549"/>
      <c r="M258" s="1549"/>
      <c r="N258" s="1061"/>
      <c r="O258" s="1061"/>
      <c r="P258" s="1061"/>
      <c r="Q258" s="1061"/>
      <c r="R258" s="1549"/>
      <c r="S258" s="1061"/>
      <c r="T258" s="1061"/>
      <c r="U258" s="470"/>
      <c r="V258" s="1061"/>
      <c r="W258" s="1061"/>
      <c r="X258" s="1061"/>
      <c r="Y258" s="1061"/>
      <c r="Z258" s="1061"/>
      <c r="AA258" s="1545"/>
      <c r="AB258" s="492"/>
      <c r="AC258" s="492"/>
      <c r="AD258" s="492"/>
      <c r="AE258" s="492"/>
    </row>
    <row r="259" spans="1:31" s="4069" customFormat="1" ht="11.25" customHeight="1">
      <c r="A259" s="896"/>
      <c r="B259" s="1549"/>
      <c r="C259" s="1549"/>
      <c r="D259" s="277"/>
      <c r="K259" s="1061"/>
      <c r="L259" s="1549"/>
      <c r="M259" s="1549"/>
      <c r="N259" s="1061"/>
      <c r="O259" s="1061"/>
      <c r="P259" s="1061"/>
      <c r="Q259" s="1061"/>
      <c r="R259" s="1549"/>
      <c r="S259" s="1061"/>
      <c r="T259" s="1061"/>
      <c r="U259" s="470"/>
      <c r="V259" s="1061"/>
      <c r="W259" s="1061"/>
      <c r="X259" s="1061"/>
      <c r="Y259" s="1061"/>
      <c r="Z259" s="1061"/>
      <c r="AA259" s="1545"/>
      <c r="AB259" s="492"/>
      <c r="AC259" s="492"/>
      <c r="AD259" s="492"/>
      <c r="AE259" s="492"/>
    </row>
    <row r="260" spans="1:31" s="4069" customFormat="1" ht="11.25" customHeight="1">
      <c r="A260" s="896"/>
      <c r="B260" s="1549"/>
      <c r="C260" s="1549"/>
      <c r="D260" s="277"/>
      <c r="K260" s="1061"/>
      <c r="L260" s="1549"/>
      <c r="M260" s="1549"/>
      <c r="N260" s="1061"/>
      <c r="O260" s="1061"/>
      <c r="P260" s="1061"/>
      <c r="Q260" s="1061"/>
      <c r="R260" s="1549"/>
      <c r="S260" s="1061"/>
      <c r="T260" s="1061"/>
      <c r="U260" s="470"/>
      <c r="V260" s="1061"/>
      <c r="W260" s="1061"/>
      <c r="X260" s="1061"/>
      <c r="Y260" s="1061"/>
      <c r="Z260" s="1061"/>
      <c r="AA260" s="1545"/>
      <c r="AB260" s="492"/>
      <c r="AC260" s="492"/>
      <c r="AD260" s="492"/>
      <c r="AE260" s="492"/>
    </row>
    <row r="261" spans="1:31" s="4069" customFormat="1" ht="11.25" customHeight="1">
      <c r="A261" s="896"/>
      <c r="B261" s="1549"/>
      <c r="C261" s="1549"/>
      <c r="D261" s="277"/>
      <c r="K261" s="1061"/>
      <c r="L261" s="1549"/>
      <c r="M261" s="1549"/>
      <c r="N261" s="1061"/>
      <c r="O261" s="1061"/>
      <c r="P261" s="1061"/>
      <c r="Q261" s="1061"/>
      <c r="R261" s="1549"/>
      <c r="S261" s="1061"/>
      <c r="T261" s="1061"/>
      <c r="U261" s="470"/>
      <c r="V261" s="1061"/>
      <c r="W261" s="1061"/>
      <c r="X261" s="1061"/>
      <c r="Y261" s="1061"/>
      <c r="Z261" s="1061"/>
      <c r="AA261" s="1545"/>
      <c r="AB261" s="492"/>
      <c r="AC261" s="492"/>
      <c r="AD261" s="492"/>
      <c r="AE261" s="492"/>
    </row>
    <row r="262" spans="1:31" s="4069" customFormat="1" ht="11.25" customHeight="1">
      <c r="A262" s="896"/>
      <c r="B262" s="1549"/>
      <c r="C262" s="1549"/>
      <c r="D262" s="277"/>
      <c r="K262" s="1061"/>
      <c r="L262" s="1549"/>
      <c r="M262" s="1549"/>
      <c r="N262" s="1061"/>
      <c r="O262" s="1061"/>
      <c r="P262" s="1061"/>
      <c r="Q262" s="1061"/>
      <c r="R262" s="1549"/>
      <c r="S262" s="1061"/>
      <c r="T262" s="1061"/>
      <c r="U262" s="470"/>
      <c r="V262" s="1061"/>
      <c r="W262" s="1061"/>
      <c r="X262" s="1061"/>
      <c r="Y262" s="1061"/>
      <c r="Z262" s="1061"/>
      <c r="AA262" s="1545"/>
      <c r="AB262" s="492"/>
      <c r="AC262" s="492"/>
      <c r="AD262" s="492"/>
      <c r="AE262" s="492"/>
    </row>
    <row r="263" spans="1:31" s="4069" customFormat="1" ht="11.25" customHeight="1">
      <c r="A263" s="896"/>
      <c r="B263" s="1549"/>
      <c r="C263" s="1549"/>
      <c r="D263" s="277"/>
      <c r="K263" s="1061"/>
      <c r="L263" s="1549"/>
      <c r="M263" s="1549"/>
      <c r="N263" s="1061"/>
      <c r="O263" s="1061"/>
      <c r="P263" s="1061"/>
      <c r="Q263" s="1061"/>
      <c r="R263" s="1549"/>
      <c r="S263" s="1061"/>
      <c r="T263" s="1061"/>
      <c r="U263" s="470"/>
      <c r="V263" s="1061"/>
      <c r="W263" s="1061"/>
      <c r="X263" s="1061"/>
      <c r="Y263" s="1061"/>
      <c r="Z263" s="1061"/>
      <c r="AA263" s="1545"/>
      <c r="AB263" s="492"/>
      <c r="AC263" s="492"/>
      <c r="AD263" s="492"/>
      <c r="AE263" s="492"/>
    </row>
    <row r="264" spans="1:31" s="4069" customFormat="1" ht="11.25" customHeight="1">
      <c r="A264" s="896"/>
      <c r="B264" s="1549"/>
      <c r="C264" s="1549"/>
      <c r="D264" s="277"/>
      <c r="K264" s="1061"/>
      <c r="L264" s="1549"/>
      <c r="M264" s="1549"/>
      <c r="N264" s="1061"/>
      <c r="O264" s="1061"/>
      <c r="P264" s="1061"/>
      <c r="Q264" s="1061"/>
      <c r="R264" s="1549"/>
      <c r="S264" s="1061"/>
      <c r="T264" s="1061"/>
      <c r="U264" s="470"/>
      <c r="V264" s="1061"/>
      <c r="W264" s="1061"/>
      <c r="X264" s="1061"/>
      <c r="Y264" s="1061"/>
      <c r="Z264" s="1061"/>
      <c r="AA264" s="1545"/>
      <c r="AB264" s="492"/>
      <c r="AC264" s="492"/>
      <c r="AD264" s="492"/>
      <c r="AE264" s="492"/>
    </row>
    <row r="265" spans="1:31" s="4069" customFormat="1" ht="11.25" customHeight="1">
      <c r="A265" s="896"/>
      <c r="B265" s="1549"/>
      <c r="C265" s="1549"/>
      <c r="D265" s="277"/>
      <c r="K265" s="1061"/>
      <c r="L265" s="1549"/>
      <c r="M265" s="1549"/>
      <c r="N265" s="1061"/>
      <c r="O265" s="1061"/>
      <c r="P265" s="1061"/>
      <c r="Q265" s="1061"/>
      <c r="R265" s="1549"/>
      <c r="S265" s="1061"/>
      <c r="T265" s="1061"/>
      <c r="U265" s="470"/>
      <c r="V265" s="1061"/>
      <c r="W265" s="1061"/>
      <c r="X265" s="1061"/>
      <c r="Y265" s="1061"/>
      <c r="Z265" s="1061"/>
      <c r="AA265" s="1545"/>
      <c r="AB265" s="492"/>
      <c r="AC265" s="492"/>
      <c r="AD265" s="492"/>
      <c r="AE265" s="492"/>
    </row>
    <row r="266" spans="1:31" s="4069" customFormat="1" ht="11.25" customHeight="1">
      <c r="A266" s="896"/>
      <c r="B266" s="1549"/>
      <c r="C266" s="1549"/>
      <c r="D266" s="277"/>
      <c r="K266" s="1061"/>
      <c r="L266" s="1549"/>
      <c r="M266" s="1549"/>
      <c r="N266" s="1061"/>
      <c r="O266" s="1061"/>
      <c r="P266" s="1061"/>
      <c r="Q266" s="1061"/>
      <c r="R266" s="1549"/>
      <c r="S266" s="1061"/>
      <c r="T266" s="1061"/>
      <c r="U266" s="470"/>
      <c r="V266" s="1061"/>
      <c r="W266" s="1061"/>
      <c r="X266" s="1061"/>
      <c r="Y266" s="1061"/>
      <c r="Z266" s="1061"/>
      <c r="AA266" s="1545"/>
      <c r="AB266" s="492"/>
      <c r="AC266" s="492"/>
      <c r="AD266" s="492"/>
      <c r="AE266" s="492"/>
    </row>
    <row r="267" spans="1:31" s="4069" customFormat="1" ht="11.25" customHeight="1">
      <c r="A267" s="896"/>
      <c r="B267" s="1549"/>
      <c r="C267" s="1549"/>
      <c r="D267" s="277"/>
      <c r="K267" s="1061"/>
      <c r="L267" s="1549"/>
      <c r="M267" s="1549"/>
      <c r="N267" s="1061"/>
      <c r="O267" s="1061"/>
      <c r="P267" s="1061"/>
      <c r="Q267" s="1061"/>
      <c r="R267" s="1549"/>
      <c r="S267" s="1061"/>
      <c r="T267" s="1061"/>
      <c r="U267" s="470"/>
      <c r="V267" s="1061"/>
      <c r="W267" s="1061"/>
      <c r="X267" s="1061"/>
      <c r="Y267" s="1061"/>
      <c r="Z267" s="1061"/>
      <c r="AA267" s="1545"/>
      <c r="AB267" s="492"/>
      <c r="AC267" s="492"/>
      <c r="AD267" s="492"/>
      <c r="AE267" s="492"/>
    </row>
    <row r="268" spans="1:31" s="4069" customFormat="1" ht="11.25" customHeight="1">
      <c r="A268" s="896"/>
      <c r="B268" s="1549"/>
      <c r="C268" s="1549"/>
      <c r="D268" s="277"/>
      <c r="K268" s="1061"/>
      <c r="L268" s="1549"/>
      <c r="M268" s="1549"/>
      <c r="N268" s="1061"/>
      <c r="O268" s="1061"/>
      <c r="P268" s="1061"/>
      <c r="Q268" s="1061"/>
      <c r="R268" s="1549"/>
      <c r="S268" s="1061"/>
      <c r="T268" s="1061"/>
      <c r="U268" s="470"/>
      <c r="V268" s="1061"/>
      <c r="W268" s="1061"/>
      <c r="X268" s="1061"/>
      <c r="Y268" s="1061"/>
      <c r="Z268" s="1061"/>
      <c r="AA268" s="1545"/>
      <c r="AB268" s="492"/>
      <c r="AC268" s="492"/>
      <c r="AD268" s="492"/>
      <c r="AE268" s="492"/>
    </row>
    <row r="269" spans="1:31" s="4069" customFormat="1" ht="11.25" customHeight="1">
      <c r="A269" s="896"/>
      <c r="B269" s="1549"/>
      <c r="C269" s="1549"/>
      <c r="D269" s="277"/>
      <c r="K269" s="1061"/>
      <c r="L269" s="1549"/>
      <c r="M269" s="1549"/>
      <c r="N269" s="1061"/>
      <c r="O269" s="1061"/>
      <c r="P269" s="1061"/>
      <c r="Q269" s="1061"/>
      <c r="R269" s="1549"/>
      <c r="S269" s="1061"/>
      <c r="T269" s="1061"/>
      <c r="U269" s="470"/>
      <c r="V269" s="1061"/>
      <c r="W269" s="1061"/>
      <c r="X269" s="1061"/>
      <c r="Y269" s="1061"/>
      <c r="Z269" s="1061"/>
      <c r="AA269" s="1545"/>
      <c r="AB269" s="492"/>
      <c r="AC269" s="492"/>
      <c r="AD269" s="492"/>
      <c r="AE269" s="492"/>
    </row>
    <row r="270" spans="1:31" s="4069" customFormat="1" ht="11.25" customHeight="1">
      <c r="A270" s="896"/>
      <c r="B270" s="1549"/>
      <c r="C270" s="1549"/>
      <c r="D270" s="277"/>
      <c r="K270" s="1061"/>
      <c r="L270" s="1549"/>
      <c r="M270" s="1549"/>
      <c r="N270" s="1061"/>
      <c r="O270" s="1061"/>
      <c r="P270" s="1061"/>
      <c r="Q270" s="1061"/>
      <c r="R270" s="1549"/>
      <c r="S270" s="1061"/>
      <c r="T270" s="1061"/>
      <c r="U270" s="470"/>
      <c r="V270" s="1061"/>
      <c r="W270" s="1061"/>
      <c r="X270" s="1061"/>
      <c r="Y270" s="1061"/>
      <c r="Z270" s="1061"/>
      <c r="AA270" s="1545"/>
      <c r="AB270" s="492"/>
      <c r="AC270" s="492"/>
      <c r="AD270" s="492"/>
      <c r="AE270" s="492"/>
    </row>
    <row r="271" spans="1:31" s="4069" customFormat="1" ht="11.25" customHeight="1">
      <c r="A271" s="896"/>
      <c r="B271" s="1549"/>
      <c r="C271" s="1549"/>
      <c r="D271" s="277"/>
      <c r="K271" s="1061"/>
      <c r="L271" s="1549"/>
      <c r="M271" s="1549"/>
      <c r="N271" s="1061"/>
      <c r="O271" s="1061"/>
      <c r="P271" s="1061"/>
      <c r="Q271" s="1061"/>
      <c r="R271" s="1549"/>
      <c r="S271" s="1061"/>
      <c r="T271" s="1061"/>
      <c r="U271" s="470"/>
      <c r="V271" s="1061"/>
      <c r="W271" s="1061"/>
      <c r="X271" s="1061"/>
      <c r="Y271" s="1061"/>
      <c r="Z271" s="1061"/>
      <c r="AA271" s="1545"/>
      <c r="AB271" s="492"/>
      <c r="AC271" s="492"/>
      <c r="AD271" s="492"/>
      <c r="AE271" s="492"/>
    </row>
    <row r="272" spans="1:31" s="4069" customFormat="1" ht="11.25" customHeight="1">
      <c r="A272" s="896"/>
      <c r="B272" s="1549"/>
      <c r="C272" s="1549"/>
      <c r="D272" s="277"/>
      <c r="K272" s="1061"/>
      <c r="L272" s="1549"/>
      <c r="M272" s="1549"/>
      <c r="N272" s="1061"/>
      <c r="O272" s="1061"/>
      <c r="P272" s="1061"/>
      <c r="Q272" s="1061"/>
      <c r="R272" s="1549"/>
      <c r="S272" s="1061"/>
      <c r="T272" s="1061"/>
      <c r="U272" s="470"/>
      <c r="V272" s="1061"/>
      <c r="W272" s="1061"/>
      <c r="X272" s="1061"/>
      <c r="Y272" s="1061"/>
      <c r="Z272" s="1061"/>
      <c r="AA272" s="1545"/>
      <c r="AB272" s="492"/>
      <c r="AC272" s="492"/>
      <c r="AD272" s="492"/>
      <c r="AE272" s="492"/>
    </row>
    <row r="273" spans="1:31" s="4069" customFormat="1" ht="11.25" customHeight="1">
      <c r="A273" s="896"/>
      <c r="B273" s="1549"/>
      <c r="C273" s="1549"/>
      <c r="D273" s="277"/>
      <c r="K273" s="1061"/>
      <c r="L273" s="1549"/>
      <c r="M273" s="1549"/>
      <c r="N273" s="1061"/>
      <c r="O273" s="1061"/>
      <c r="P273" s="1061"/>
      <c r="Q273" s="1061"/>
      <c r="R273" s="1549"/>
      <c r="S273" s="1061"/>
      <c r="T273" s="1061"/>
      <c r="U273" s="470"/>
      <c r="V273" s="1061"/>
      <c r="W273" s="1061"/>
      <c r="X273" s="1061"/>
      <c r="Y273" s="1061"/>
      <c r="Z273" s="1061"/>
      <c r="AA273" s="1545"/>
      <c r="AB273" s="492"/>
      <c r="AC273" s="492"/>
      <c r="AD273" s="492"/>
      <c r="AE273" s="492"/>
    </row>
    <row r="274" spans="1:31" s="4069" customFormat="1" ht="11.25" customHeight="1">
      <c r="A274" s="896"/>
      <c r="B274" s="1549"/>
      <c r="C274" s="1549"/>
      <c r="D274" s="277"/>
      <c r="K274" s="1061"/>
      <c r="L274" s="1549"/>
      <c r="M274" s="1549"/>
      <c r="N274" s="1061"/>
      <c r="O274" s="1061"/>
      <c r="P274" s="1061"/>
      <c r="Q274" s="1061"/>
      <c r="R274" s="1549"/>
      <c r="S274" s="1061"/>
      <c r="T274" s="1061"/>
      <c r="U274" s="470"/>
      <c r="V274" s="1061"/>
      <c r="W274" s="1061"/>
      <c r="X274" s="1061"/>
      <c r="Y274" s="1061"/>
      <c r="Z274" s="1061"/>
      <c r="AA274" s="1545"/>
      <c r="AB274" s="492"/>
      <c r="AC274" s="492"/>
      <c r="AD274" s="492"/>
      <c r="AE274" s="492"/>
    </row>
    <row r="275" spans="1:31" s="4069" customFormat="1" ht="11.25" customHeight="1">
      <c r="A275" s="896"/>
      <c r="B275" s="1549"/>
      <c r="C275" s="1549"/>
      <c r="D275" s="277"/>
      <c r="K275" s="1061"/>
      <c r="L275" s="1549"/>
      <c r="M275" s="1549"/>
      <c r="N275" s="1061"/>
      <c r="O275" s="1061"/>
      <c r="P275" s="1061"/>
      <c r="Q275" s="1061"/>
      <c r="R275" s="1549"/>
      <c r="S275" s="1061"/>
      <c r="T275" s="1061"/>
      <c r="U275" s="470"/>
      <c r="V275" s="1061"/>
      <c r="W275" s="1061"/>
      <c r="X275" s="1061"/>
      <c r="Y275" s="1061"/>
      <c r="Z275" s="1061"/>
      <c r="AA275" s="1545"/>
      <c r="AB275" s="492"/>
      <c r="AC275" s="492"/>
      <c r="AD275" s="492"/>
      <c r="AE275" s="492"/>
    </row>
    <row r="276" spans="1:31" s="4069" customFormat="1" ht="11.25" customHeight="1">
      <c r="A276" s="896"/>
      <c r="B276" s="1549"/>
      <c r="C276" s="1549"/>
      <c r="D276" s="277"/>
      <c r="K276" s="1061"/>
      <c r="L276" s="1549"/>
      <c r="M276" s="1549"/>
      <c r="N276" s="1061"/>
      <c r="O276" s="1061"/>
      <c r="P276" s="1061"/>
      <c r="Q276" s="1061"/>
      <c r="R276" s="1549"/>
      <c r="S276" s="1061"/>
      <c r="T276" s="1061"/>
      <c r="U276" s="470"/>
      <c r="V276" s="1061"/>
      <c r="W276" s="1061"/>
      <c r="X276" s="1061"/>
      <c r="Y276" s="1061"/>
      <c r="Z276" s="1061"/>
      <c r="AA276" s="1545"/>
      <c r="AB276" s="492"/>
      <c r="AC276" s="492"/>
      <c r="AD276" s="492"/>
      <c r="AE276" s="492"/>
    </row>
    <row r="277" spans="1:31" s="4069" customFormat="1" ht="11.25" customHeight="1">
      <c r="A277" s="896"/>
      <c r="B277" s="1549"/>
      <c r="C277" s="1549"/>
      <c r="D277" s="277"/>
      <c r="K277" s="1061"/>
      <c r="L277" s="1549"/>
      <c r="M277" s="1549"/>
      <c r="N277" s="1061"/>
      <c r="O277" s="1061"/>
      <c r="P277" s="1061"/>
      <c r="Q277" s="1061"/>
      <c r="R277" s="1549"/>
      <c r="S277" s="1061"/>
      <c r="T277" s="1061"/>
      <c r="U277" s="470"/>
      <c r="V277" s="1061"/>
      <c r="W277" s="1061"/>
      <c r="X277" s="1061"/>
      <c r="Y277" s="1061"/>
      <c r="Z277" s="1061"/>
      <c r="AA277" s="1545"/>
      <c r="AB277" s="492"/>
      <c r="AC277" s="492"/>
      <c r="AD277" s="492"/>
      <c r="AE277" s="492"/>
    </row>
    <row r="278" spans="1:31" s="4069" customFormat="1" ht="11.25" customHeight="1">
      <c r="A278" s="896"/>
      <c r="B278" s="1549"/>
      <c r="C278" s="1549"/>
      <c r="D278" s="277"/>
      <c r="K278" s="1061"/>
      <c r="L278" s="1549"/>
      <c r="M278" s="1549"/>
      <c r="N278" s="1061"/>
      <c r="O278" s="1061"/>
      <c r="P278" s="1061"/>
      <c r="Q278" s="1061"/>
      <c r="R278" s="1549"/>
      <c r="S278" s="1061"/>
      <c r="T278" s="1061"/>
      <c r="U278" s="470"/>
      <c r="V278" s="1061"/>
      <c r="W278" s="1061"/>
      <c r="X278" s="1061"/>
      <c r="Y278" s="1061"/>
      <c r="Z278" s="1061"/>
      <c r="AA278" s="1545"/>
      <c r="AB278" s="492"/>
      <c r="AC278" s="492"/>
      <c r="AD278" s="492"/>
      <c r="AE278" s="492"/>
    </row>
    <row r="279" spans="1:31" s="4069" customFormat="1" ht="11.25" customHeight="1">
      <c r="A279" s="896"/>
      <c r="B279" s="1549"/>
      <c r="C279" s="1549"/>
      <c r="D279" s="277"/>
      <c r="K279" s="1061"/>
      <c r="L279" s="1549"/>
      <c r="M279" s="1549"/>
      <c r="N279" s="1061"/>
      <c r="O279" s="1061"/>
      <c r="P279" s="1061"/>
      <c r="Q279" s="1061"/>
      <c r="R279" s="1549"/>
      <c r="S279" s="1061"/>
      <c r="T279" s="1061"/>
      <c r="U279" s="470"/>
      <c r="V279" s="1061"/>
      <c r="W279" s="1061"/>
      <c r="X279" s="1061"/>
      <c r="Y279" s="1061"/>
      <c r="Z279" s="1061"/>
      <c r="AA279" s="1545"/>
      <c r="AB279" s="492"/>
      <c r="AC279" s="492"/>
      <c r="AD279" s="492"/>
      <c r="AE279" s="492"/>
    </row>
    <row r="280" spans="1:31" s="4069" customFormat="1" ht="11.25" customHeight="1">
      <c r="A280" s="896"/>
      <c r="B280" s="1549"/>
      <c r="C280" s="1549"/>
      <c r="D280" s="277"/>
      <c r="K280" s="1061"/>
      <c r="L280" s="1549"/>
      <c r="M280" s="1549"/>
      <c r="N280" s="1061"/>
      <c r="O280" s="1061"/>
      <c r="P280" s="1061"/>
      <c r="Q280" s="1061"/>
      <c r="R280" s="1549"/>
      <c r="S280" s="1061"/>
      <c r="T280" s="1061"/>
      <c r="U280" s="470"/>
      <c r="V280" s="1061"/>
      <c r="W280" s="1061"/>
      <c r="X280" s="1061"/>
      <c r="Y280" s="1061"/>
      <c r="Z280" s="1061"/>
      <c r="AA280" s="1545"/>
      <c r="AB280" s="492"/>
      <c r="AC280" s="492"/>
      <c r="AD280" s="492"/>
      <c r="AE280" s="492"/>
    </row>
    <row r="281" spans="1:31" s="4069" customFormat="1" ht="11.25" customHeight="1">
      <c r="A281" s="896"/>
      <c r="B281" s="1549"/>
      <c r="C281" s="1549"/>
      <c r="D281" s="277"/>
      <c r="K281" s="1061"/>
      <c r="L281" s="1549"/>
      <c r="M281" s="1549"/>
      <c r="N281" s="1061"/>
      <c r="O281" s="1061"/>
      <c r="P281" s="1061"/>
      <c r="Q281" s="1061"/>
      <c r="R281" s="1549"/>
      <c r="S281" s="1061"/>
      <c r="T281" s="1061"/>
      <c r="U281" s="470"/>
      <c r="V281" s="1061"/>
      <c r="W281" s="1061"/>
      <c r="X281" s="1061"/>
      <c r="Y281" s="1061"/>
      <c r="Z281" s="1061"/>
      <c r="AA281" s="1545"/>
      <c r="AB281" s="492"/>
      <c r="AC281" s="492"/>
      <c r="AD281" s="492"/>
      <c r="AE281" s="492"/>
    </row>
    <row r="282" spans="1:31" s="4069" customFormat="1" ht="11.25" customHeight="1">
      <c r="A282" s="896"/>
      <c r="B282" s="1549"/>
      <c r="C282" s="1549"/>
      <c r="D282" s="277"/>
      <c r="K282" s="1061"/>
      <c r="L282" s="1549"/>
      <c r="M282" s="1549"/>
      <c r="N282" s="1061"/>
      <c r="O282" s="1061"/>
      <c r="P282" s="1061"/>
      <c r="Q282" s="1061"/>
      <c r="R282" s="1549"/>
      <c r="S282" s="1061"/>
      <c r="T282" s="1061"/>
      <c r="U282" s="470"/>
      <c r="V282" s="1061"/>
      <c r="W282" s="1061"/>
      <c r="X282" s="1061"/>
      <c r="Y282" s="1061"/>
      <c r="Z282" s="1061"/>
      <c r="AA282" s="1545"/>
      <c r="AB282" s="492"/>
      <c r="AC282" s="492"/>
      <c r="AD282" s="492"/>
      <c r="AE282" s="492"/>
    </row>
    <row r="283" spans="1:31" s="4069" customFormat="1" ht="11.25" customHeight="1">
      <c r="A283" s="896"/>
      <c r="B283" s="1549"/>
      <c r="C283" s="1549"/>
      <c r="D283" s="277"/>
      <c r="K283" s="1061"/>
      <c r="L283" s="1549"/>
      <c r="M283" s="1549"/>
      <c r="N283" s="1061"/>
      <c r="O283" s="1061"/>
      <c r="P283" s="1061"/>
      <c r="Q283" s="1061"/>
      <c r="R283" s="1549"/>
      <c r="S283" s="1061"/>
      <c r="T283" s="1061"/>
      <c r="U283" s="470"/>
      <c r="V283" s="1061"/>
      <c r="W283" s="1061"/>
      <c r="X283" s="1061"/>
      <c r="Y283" s="1061"/>
      <c r="Z283" s="1061"/>
      <c r="AA283" s="1545"/>
      <c r="AB283" s="492"/>
      <c r="AC283" s="492"/>
      <c r="AD283" s="492"/>
      <c r="AE283" s="492"/>
    </row>
    <row r="284" spans="1:31" s="4069" customFormat="1" ht="11.25" customHeight="1">
      <c r="A284" s="896"/>
      <c r="B284" s="1549"/>
      <c r="C284" s="1549"/>
      <c r="D284" s="277"/>
      <c r="K284" s="1061"/>
      <c r="L284" s="1549"/>
      <c r="M284" s="1549"/>
      <c r="N284" s="1061"/>
      <c r="O284" s="1061"/>
      <c r="P284" s="1061"/>
      <c r="Q284" s="1061"/>
      <c r="R284" s="1549"/>
      <c r="S284" s="1061"/>
      <c r="T284" s="1061"/>
      <c r="U284" s="470"/>
      <c r="V284" s="1061"/>
      <c r="W284" s="1061"/>
      <c r="X284" s="1061"/>
      <c r="Y284" s="1061"/>
      <c r="Z284" s="1061"/>
      <c r="AA284" s="1545"/>
      <c r="AB284" s="492"/>
      <c r="AC284" s="492"/>
      <c r="AD284" s="492"/>
      <c r="AE284" s="492"/>
    </row>
    <row r="285" spans="1:31" s="4069" customFormat="1" ht="11.25" customHeight="1">
      <c r="A285" s="896"/>
      <c r="B285" s="1549"/>
      <c r="C285" s="1549"/>
      <c r="D285" s="277"/>
      <c r="K285" s="1061"/>
      <c r="L285" s="1549"/>
      <c r="M285" s="1549"/>
      <c r="N285" s="1061"/>
      <c r="O285" s="1061"/>
      <c r="P285" s="1061"/>
      <c r="Q285" s="1061"/>
      <c r="R285" s="1549"/>
      <c r="S285" s="1061"/>
      <c r="T285" s="1061"/>
      <c r="U285" s="470"/>
      <c r="V285" s="1061"/>
      <c r="W285" s="1061"/>
      <c r="X285" s="1061"/>
      <c r="Y285" s="1061"/>
      <c r="Z285" s="1061"/>
      <c r="AA285" s="1545"/>
      <c r="AB285" s="492"/>
      <c r="AC285" s="492"/>
      <c r="AD285" s="492"/>
      <c r="AE285" s="492"/>
    </row>
    <row r="286" spans="1:31" s="4069" customFormat="1" ht="11.25" customHeight="1">
      <c r="A286" s="896"/>
      <c r="B286" s="1549"/>
      <c r="C286" s="1549"/>
      <c r="D286" s="277"/>
      <c r="K286" s="1061"/>
      <c r="L286" s="1549"/>
      <c r="M286" s="1549"/>
      <c r="N286" s="1061"/>
      <c r="O286" s="1061"/>
      <c r="P286" s="1061"/>
      <c r="Q286" s="1061"/>
      <c r="R286" s="1549"/>
      <c r="S286" s="1061"/>
      <c r="T286" s="1061"/>
      <c r="U286" s="470"/>
      <c r="V286" s="1061"/>
      <c r="W286" s="1061"/>
      <c r="X286" s="1061"/>
      <c r="Y286" s="1061"/>
      <c r="Z286" s="1061"/>
      <c r="AA286" s="1545"/>
      <c r="AB286" s="492"/>
      <c r="AC286" s="492"/>
      <c r="AD286" s="492"/>
      <c r="AE286" s="492"/>
    </row>
    <row r="287" spans="1:31" s="4069" customFormat="1" ht="11.25" customHeight="1">
      <c r="A287" s="896"/>
      <c r="B287" s="1549"/>
      <c r="C287" s="1549"/>
      <c r="D287" s="277"/>
      <c r="K287" s="1061"/>
      <c r="L287" s="1549"/>
      <c r="M287" s="1549"/>
      <c r="N287" s="1061"/>
      <c r="O287" s="1061"/>
      <c r="P287" s="1061"/>
      <c r="Q287" s="1061"/>
      <c r="R287" s="1549"/>
      <c r="S287" s="1061"/>
      <c r="T287" s="1061"/>
      <c r="U287" s="470"/>
      <c r="V287" s="1061"/>
      <c r="W287" s="1061"/>
      <c r="X287" s="1061"/>
      <c r="Y287" s="1061"/>
      <c r="Z287" s="1061"/>
      <c r="AA287" s="1545"/>
      <c r="AB287" s="492"/>
      <c r="AC287" s="492"/>
      <c r="AD287" s="492"/>
      <c r="AE287" s="492"/>
    </row>
    <row r="288" spans="1:31" s="4069" customFormat="1" ht="11.25" customHeight="1">
      <c r="A288" s="896"/>
      <c r="B288" s="1549"/>
      <c r="C288" s="1549"/>
      <c r="D288" s="277"/>
      <c r="K288" s="1061"/>
      <c r="L288" s="1549"/>
      <c r="M288" s="1549"/>
      <c r="N288" s="1061"/>
      <c r="O288" s="1061"/>
      <c r="P288" s="1061"/>
      <c r="Q288" s="1061"/>
      <c r="R288" s="1549"/>
      <c r="S288" s="1061"/>
      <c r="T288" s="1061"/>
      <c r="U288" s="470"/>
      <c r="V288" s="1061"/>
      <c r="W288" s="1061"/>
      <c r="X288" s="1061"/>
      <c r="Y288" s="1061"/>
      <c r="Z288" s="1061"/>
      <c r="AA288" s="1545"/>
      <c r="AB288" s="492"/>
      <c r="AC288" s="492"/>
      <c r="AD288" s="492"/>
      <c r="AE288" s="492"/>
    </row>
    <row r="292" spans="1:31" ht="11.25" customHeight="1">
      <c r="A292" s="899"/>
      <c r="B292" s="1544"/>
      <c r="D292" s="1544"/>
      <c r="K292" s="1544"/>
      <c r="N292" s="1544"/>
      <c r="O292" s="1544"/>
      <c r="P292" s="1544"/>
      <c r="Q292" s="1544"/>
      <c r="S292" s="1544"/>
      <c r="T292" s="1544"/>
      <c r="U292" s="1544"/>
      <c r="V292" s="1544"/>
      <c r="W292" s="1544"/>
      <c r="X292" s="1544"/>
      <c r="Y292" s="1544"/>
      <c r="Z292" s="1544"/>
      <c r="AA292" s="1544"/>
      <c r="AB292" s="1544"/>
      <c r="AC292" s="1544"/>
      <c r="AD292" s="1544"/>
      <c r="AE292" s="1544"/>
    </row>
    <row r="293" spans="1:31" ht="11.25" customHeight="1">
      <c r="A293" s="899"/>
      <c r="B293" s="1544"/>
      <c r="D293" s="1544"/>
      <c r="K293" s="1544"/>
      <c r="N293" s="1544"/>
      <c r="O293" s="1544"/>
      <c r="P293" s="1544"/>
      <c r="Q293" s="1544"/>
      <c r="S293" s="1544"/>
      <c r="T293" s="1544"/>
      <c r="U293" s="1544"/>
      <c r="V293" s="1544"/>
      <c r="W293" s="1544"/>
      <c r="X293" s="1544"/>
      <c r="Y293" s="1544"/>
      <c r="Z293" s="1544"/>
      <c r="AA293" s="1544"/>
      <c r="AB293" s="1544"/>
      <c r="AC293" s="1544"/>
      <c r="AD293" s="1544"/>
      <c r="AE293" s="1544"/>
    </row>
    <row r="294" spans="1:31" ht="11.25" customHeight="1">
      <c r="A294" s="899"/>
      <c r="B294" s="1544"/>
      <c r="D294" s="1544"/>
      <c r="K294" s="1544"/>
      <c r="N294" s="1544"/>
      <c r="O294" s="1544"/>
      <c r="P294" s="1544"/>
      <c r="Q294" s="1544"/>
      <c r="S294" s="1544"/>
      <c r="T294" s="1544"/>
      <c r="U294" s="1544"/>
      <c r="V294" s="1544"/>
      <c r="W294" s="1544"/>
      <c r="X294" s="1544"/>
      <c r="Y294" s="1544"/>
      <c r="Z294" s="1544"/>
      <c r="AA294" s="1544"/>
      <c r="AB294" s="1544"/>
      <c r="AC294" s="1544"/>
      <c r="AD294" s="1544"/>
      <c r="AE294" s="1544"/>
    </row>
    <row r="295" spans="1:31" ht="11.25" customHeight="1">
      <c r="A295" s="899"/>
      <c r="B295" s="1544"/>
      <c r="D295" s="1544"/>
      <c r="K295" s="1544"/>
      <c r="N295" s="1544"/>
      <c r="O295" s="1544"/>
      <c r="P295" s="1544"/>
      <c r="Q295" s="1544"/>
      <c r="S295" s="1544"/>
      <c r="T295" s="1544"/>
      <c r="U295" s="1544"/>
      <c r="V295" s="1544"/>
      <c r="W295" s="1544"/>
      <c r="X295" s="1544"/>
      <c r="Y295" s="1544"/>
      <c r="Z295" s="1544"/>
      <c r="AA295" s="1544"/>
      <c r="AB295" s="1544"/>
      <c r="AC295" s="1544"/>
      <c r="AD295" s="1544"/>
      <c r="AE295" s="1544"/>
    </row>
    <row r="296" spans="1:31" ht="11.25" customHeight="1">
      <c r="A296" s="899"/>
      <c r="B296" s="1544"/>
      <c r="D296" s="1544"/>
      <c r="K296" s="1544"/>
      <c r="N296" s="1544"/>
      <c r="O296" s="1544"/>
      <c r="P296" s="1544"/>
      <c r="Q296" s="1544"/>
      <c r="S296" s="1544"/>
      <c r="T296" s="1544"/>
      <c r="U296" s="1544"/>
      <c r="V296" s="1544"/>
      <c r="W296" s="1544"/>
      <c r="X296" s="1544"/>
      <c r="Y296" s="1544"/>
      <c r="Z296" s="1544"/>
      <c r="AA296" s="1544"/>
      <c r="AB296" s="1544"/>
      <c r="AC296" s="1544"/>
      <c r="AD296" s="1544"/>
      <c r="AE296" s="1544"/>
    </row>
    <row r="297" spans="1:31" ht="11.25" customHeight="1">
      <c r="A297" s="899"/>
      <c r="B297" s="1544"/>
      <c r="D297" s="1544"/>
      <c r="K297" s="1544"/>
      <c r="N297" s="1544"/>
      <c r="O297" s="1544"/>
      <c r="P297" s="1544"/>
      <c r="Q297" s="1544"/>
      <c r="S297" s="1544"/>
      <c r="T297" s="1544"/>
      <c r="U297" s="1544"/>
      <c r="V297" s="1544"/>
      <c r="W297" s="1544"/>
      <c r="X297" s="1544"/>
      <c r="Y297" s="1544"/>
      <c r="Z297" s="1544"/>
      <c r="AA297" s="1544"/>
      <c r="AB297" s="1544"/>
      <c r="AC297" s="1544"/>
      <c r="AD297" s="1544"/>
      <c r="AE297" s="1544"/>
    </row>
    <row r="298" spans="1:31" ht="11.25" customHeight="1">
      <c r="A298" s="899"/>
      <c r="B298" s="1544"/>
      <c r="D298" s="1544"/>
      <c r="K298" s="1544"/>
      <c r="N298" s="1544"/>
      <c r="O298" s="1544"/>
      <c r="P298" s="1544"/>
      <c r="Q298" s="1544"/>
      <c r="S298" s="1544"/>
      <c r="T298" s="1544"/>
      <c r="U298" s="1544"/>
      <c r="V298" s="1544"/>
      <c r="W298" s="1544"/>
      <c r="X298" s="1544"/>
      <c r="Y298" s="1544"/>
      <c r="Z298" s="1544"/>
      <c r="AA298" s="1544"/>
      <c r="AB298" s="1544"/>
      <c r="AC298" s="1544"/>
      <c r="AD298" s="1544"/>
      <c r="AE298" s="1544"/>
    </row>
    <row r="299" spans="1:31" ht="11.25" customHeight="1">
      <c r="A299" s="899"/>
      <c r="B299" s="1544"/>
      <c r="D299" s="1544"/>
      <c r="K299" s="1544"/>
      <c r="N299" s="1544"/>
      <c r="O299" s="1544"/>
      <c r="P299" s="1544"/>
      <c r="Q299" s="1544"/>
      <c r="S299" s="1544"/>
      <c r="T299" s="1544"/>
      <c r="U299" s="1544"/>
      <c r="V299" s="1544"/>
      <c r="W299" s="1544"/>
      <c r="X299" s="1544"/>
      <c r="Y299" s="1544"/>
      <c r="Z299" s="1544"/>
      <c r="AA299" s="1544"/>
      <c r="AB299" s="1544"/>
      <c r="AC299" s="1544"/>
      <c r="AD299" s="1544"/>
      <c r="AE299" s="1544"/>
    </row>
    <row r="300" spans="1:31" ht="11.25" customHeight="1">
      <c r="A300" s="899"/>
      <c r="B300" s="1544"/>
      <c r="D300" s="1544"/>
      <c r="K300" s="1544"/>
      <c r="N300" s="1544"/>
      <c r="O300" s="1544"/>
      <c r="P300" s="1544"/>
      <c r="Q300" s="1544"/>
      <c r="S300" s="1544"/>
      <c r="T300" s="1544"/>
      <c r="U300" s="1544"/>
      <c r="V300" s="1544"/>
      <c r="W300" s="1544"/>
      <c r="X300" s="1544"/>
      <c r="Y300" s="1544"/>
      <c r="Z300" s="1544"/>
      <c r="AA300" s="1544"/>
      <c r="AB300" s="1544"/>
      <c r="AC300" s="1544"/>
      <c r="AD300" s="1544"/>
      <c r="AE300" s="1544"/>
    </row>
    <row r="301" spans="1:31" ht="11.25" customHeight="1">
      <c r="A301" s="899"/>
      <c r="B301" s="1544"/>
      <c r="D301" s="1544"/>
      <c r="K301" s="1544"/>
      <c r="N301" s="1544"/>
      <c r="O301" s="1544"/>
      <c r="P301" s="1544"/>
      <c r="Q301" s="1544"/>
      <c r="S301" s="1544"/>
      <c r="T301" s="1544"/>
      <c r="U301" s="1544"/>
      <c r="V301" s="1544"/>
      <c r="W301" s="1544"/>
      <c r="X301" s="1544"/>
      <c r="Y301" s="1544"/>
      <c r="Z301" s="1544"/>
      <c r="AA301" s="1544"/>
      <c r="AB301" s="1544"/>
      <c r="AC301" s="1544"/>
      <c r="AD301" s="1544"/>
      <c r="AE301" s="1544"/>
    </row>
    <row r="302" spans="1:31" ht="11.25" customHeight="1">
      <c r="A302" s="899"/>
      <c r="B302" s="1544"/>
      <c r="D302" s="1544"/>
      <c r="K302" s="1544"/>
      <c r="N302" s="1544"/>
      <c r="O302" s="1544"/>
      <c r="P302" s="1544"/>
      <c r="Q302" s="1544"/>
      <c r="S302" s="1544"/>
      <c r="T302" s="1544"/>
      <c r="U302" s="1544"/>
      <c r="V302" s="1544"/>
      <c r="W302" s="1544"/>
      <c r="X302" s="1544"/>
      <c r="Y302" s="1544"/>
      <c r="Z302" s="1544"/>
      <c r="AA302" s="1544"/>
      <c r="AB302" s="1544"/>
      <c r="AC302" s="1544"/>
      <c r="AD302" s="1544"/>
      <c r="AE302" s="154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9" tint="-0.249977111117893"/>
  </sheetPr>
  <dimension ref="A1:CE28"/>
  <sheetViews>
    <sheetView showGridLines="0" topLeftCell="C4" zoomScale="90" workbookViewId="0"/>
  </sheetViews>
  <sheetFormatPr defaultColWidth="9.140625" defaultRowHeight="11.25" customHeight="1"/>
  <cols>
    <col min="1" max="1" width="14.7109375" style="4074" hidden="1" customWidth="1"/>
    <col min="2" max="2" width="17" style="1936" hidden="1" customWidth="1"/>
    <col min="3" max="3" width="3.7109375" style="1938" customWidth="1"/>
    <col min="4" max="4" width="1.85546875" style="1938" hidden="1" customWidth="1"/>
    <col min="5" max="6" width="7.7109375" style="1938" customWidth="1"/>
    <col min="7" max="7" width="29.7109375" style="1938" customWidth="1"/>
    <col min="8" max="8" width="3.7109375" style="1938" customWidth="1"/>
    <col min="9" max="9" width="5.42578125" style="1938" customWidth="1"/>
    <col min="10" max="10" width="24.5703125" style="1938" customWidth="1"/>
    <col min="11" max="11" width="24.42578125" style="1938" customWidth="1"/>
    <col min="12" max="12" width="3.7109375" style="1938" customWidth="1"/>
    <col min="13" max="13" width="6.28515625" style="1938" customWidth="1"/>
    <col min="14" max="14" width="25.85546875" style="1938" customWidth="1"/>
    <col min="15" max="18" width="18.7109375" style="1938" customWidth="1"/>
    <col min="19" max="19" width="93.42578125" style="1938" customWidth="1"/>
    <col min="20" max="20" width="10.5703125" style="1938" customWidth="1"/>
    <col min="21" max="21" width="10.5703125" style="4075" customWidth="1"/>
    <col min="22" max="22" width="11.7109375" style="4075" customWidth="1"/>
    <col min="23" max="23" width="10.5703125" style="4076" customWidth="1"/>
    <col min="24" max="27" width="10.5703125" style="1936" customWidth="1"/>
    <col min="28" max="83" width="9.140625" style="1938"/>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5"/>
      <c r="E5" s="474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4743"/>
      <c r="G5" s="4743"/>
      <c r="H5" s="4743"/>
      <c r="I5" s="4743"/>
      <c r="J5" s="4743"/>
      <c r="K5" s="4743"/>
      <c r="L5" s="535"/>
      <c r="M5" s="535"/>
    </row>
    <row r="6" spans="1:83" s="1824" customFormat="1" ht="16.5" customHeight="1">
      <c r="A6" s="532"/>
      <c r="B6" s="677"/>
      <c r="C6" s="436"/>
      <c r="D6" s="966"/>
      <c r="E6" s="4690" t="str">
        <f>IF(org=0,"Не определено",org)</f>
        <v>ОГКП "Ульяновский областной водоканал"</v>
      </c>
      <c r="F6" s="4690"/>
      <c r="G6" s="4690"/>
      <c r="H6" s="4690"/>
      <c r="I6" s="4690"/>
      <c r="J6" s="4690"/>
      <c r="K6" s="4690"/>
      <c r="L6" s="535"/>
      <c r="M6" s="535"/>
      <c r="U6" s="533"/>
      <c r="V6" s="533"/>
      <c r="W6" s="534"/>
      <c r="X6" s="677"/>
      <c r="Y6" s="677"/>
      <c r="Z6" s="677"/>
      <c r="AA6" s="677"/>
    </row>
    <row r="7" spans="1:83" ht="11.25" customHeight="1">
      <c r="C7" s="436"/>
      <c r="D7" s="436"/>
      <c r="E7" s="436"/>
      <c r="F7" s="436"/>
      <c r="G7" s="449"/>
      <c r="H7" s="449"/>
      <c r="I7" s="449"/>
      <c r="J7" s="449"/>
      <c r="K7" s="536"/>
      <c r="L7" s="536"/>
      <c r="M7" s="536"/>
      <c r="R7" s="670"/>
    </row>
    <row r="8" spans="1:83" s="1820" customFormat="1" ht="5.25" customHeight="1">
      <c r="A8" s="543"/>
      <c r="B8" s="492"/>
      <c r="C8" s="277"/>
      <c r="D8" s="277"/>
      <c r="E8" s="277"/>
      <c r="F8" s="277"/>
      <c r="G8" s="885"/>
      <c r="H8" s="885"/>
      <c r="I8" s="885"/>
      <c r="J8" s="885"/>
      <c r="K8" s="926"/>
      <c r="L8" s="926"/>
      <c r="M8" s="926"/>
      <c r="R8" s="927"/>
      <c r="U8" s="533"/>
      <c r="V8" s="533"/>
      <c r="W8" s="544"/>
      <c r="X8" s="492"/>
      <c r="Y8" s="492"/>
      <c r="Z8" s="492"/>
      <c r="AA8" s="492"/>
    </row>
    <row r="9" spans="1:83" ht="18.75" customHeight="1">
      <c r="D9" s="208"/>
      <c r="E9" s="4598" t="s">
        <v>439</v>
      </c>
      <c r="F9" s="4604"/>
      <c r="G9" s="4604"/>
      <c r="H9" s="4604"/>
      <c r="I9" s="4604"/>
      <c r="J9" s="4604"/>
      <c r="K9" s="4604"/>
      <c r="L9" s="4604"/>
      <c r="M9" s="4604"/>
      <c r="N9" s="4604"/>
      <c r="O9" s="4604"/>
      <c r="P9" s="4604"/>
      <c r="Q9" s="4604"/>
      <c r="R9" s="4597"/>
      <c r="S9" s="4627" t="s">
        <v>440</v>
      </c>
      <c r="T9" s="261"/>
    </row>
    <row r="10" spans="1:83" ht="33.75" customHeight="1">
      <c r="D10" s="477" t="s">
        <v>86</v>
      </c>
      <c r="E10" s="4627" t="s">
        <v>86</v>
      </c>
      <c r="F10" s="4627"/>
      <c r="G10" s="448" t="s">
        <v>441</v>
      </c>
      <c r="H10" s="4627" t="s">
        <v>86</v>
      </c>
      <c r="I10" s="4627"/>
      <c r="J10" s="448" t="s">
        <v>737</v>
      </c>
      <c r="K10" s="448" t="s">
        <v>738</v>
      </c>
      <c r="L10" s="4627" t="s">
        <v>86</v>
      </c>
      <c r="M10" s="4627"/>
      <c r="N10" s="448" t="s">
        <v>739</v>
      </c>
      <c r="O10" s="448" t="s">
        <v>740</v>
      </c>
      <c r="P10" s="448" t="s">
        <v>741</v>
      </c>
      <c r="Q10" s="448" t="s">
        <v>742</v>
      </c>
      <c r="R10" s="448" t="s">
        <v>743</v>
      </c>
      <c r="S10" s="4627"/>
      <c r="T10" s="261"/>
    </row>
    <row r="11" spans="1:83" s="1821" customFormat="1" ht="15" hidden="1" customHeight="1">
      <c r="A11" s="960"/>
      <c r="D11" s="933" t="s">
        <v>174</v>
      </c>
      <c r="E11" s="933"/>
      <c r="F11" s="933" t="s">
        <v>101</v>
      </c>
      <c r="G11" s="933" t="s">
        <v>88</v>
      </c>
      <c r="H11" s="933"/>
      <c r="I11" s="933" t="s">
        <v>89</v>
      </c>
      <c r="J11" s="933" t="s">
        <v>128</v>
      </c>
      <c r="K11" s="933" t="s">
        <v>90</v>
      </c>
      <c r="L11" s="933"/>
      <c r="M11" s="933" t="s">
        <v>91</v>
      </c>
      <c r="N11" s="933" t="s">
        <v>138</v>
      </c>
      <c r="O11" s="933" t="s">
        <v>151</v>
      </c>
      <c r="P11" s="933" t="s">
        <v>157</v>
      </c>
      <c r="Q11" s="933" t="s">
        <v>162</v>
      </c>
      <c r="R11" s="933" t="s">
        <v>210</v>
      </c>
      <c r="S11" s="933" t="s">
        <v>211</v>
      </c>
      <c r="U11" s="533"/>
      <c r="V11" s="533"/>
      <c r="W11" s="533"/>
    </row>
    <row r="12" spans="1:83" s="1826" customFormat="1" ht="0.75" customHeight="1">
      <c r="A12" s="537"/>
      <c r="B12" s="290"/>
      <c r="D12" s="474"/>
      <c r="E12" s="272"/>
      <c r="F12" s="272"/>
      <c r="Q12" s="538"/>
      <c r="R12" s="539"/>
      <c r="T12" s="540"/>
      <c r="U12" s="541"/>
      <c r="V12" s="541"/>
      <c r="W12" s="542"/>
      <c r="X12" s="290"/>
      <c r="Y12" s="290"/>
      <c r="Z12" s="290"/>
      <c r="AA12" s="290"/>
    </row>
    <row r="13" spans="1:83" s="1820" customFormat="1" ht="0.75" customHeight="1">
      <c r="A13" s="543"/>
      <c r="B13" s="492"/>
      <c r="D13" s="474" t="s">
        <v>517</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6" customFormat="1" ht="15" hidden="1" customHeight="1">
      <c r="A14" s="545" t="s">
        <v>179</v>
      </c>
      <c r="B14" s="546"/>
      <c r="C14" s="546"/>
      <c r="D14" s="4845" t="s">
        <v>174</v>
      </c>
      <c r="E14" s="4842" t="s">
        <v>170</v>
      </c>
      <c r="F14" s="4843"/>
      <c r="G14" s="4844"/>
      <c r="H14" s="4848">
        <f>IF(A14="","",INDEX(DIFFERENTIATION_UNMERGE_VD,MATCH(A14,DIFFERENTIATION_ID_DIFF,0)))</f>
        <v>0</v>
      </c>
      <c r="I14" s="4848"/>
      <c r="J14" s="4848"/>
      <c r="K14" s="4848"/>
      <c r="L14" s="4848"/>
      <c r="M14" s="4848"/>
      <c r="N14" s="4848"/>
      <c r="O14" s="4848"/>
      <c r="P14" s="4848"/>
      <c r="Q14" s="4848"/>
      <c r="R14" s="4848"/>
      <c r="S14" s="639"/>
      <c r="T14" s="636"/>
      <c r="U14" s="547"/>
      <c r="V14" s="547"/>
      <c r="W14" s="548"/>
      <c r="X14" s="548"/>
      <c r="Y14" s="548"/>
      <c r="Z14" s="548"/>
      <c r="AA14" s="549"/>
      <c r="AB14" s="550"/>
      <c r="AC14" s="4840"/>
      <c r="AD14" s="551"/>
      <c r="AE14" s="552" t="s">
        <v>24</v>
      </c>
      <c r="AF14" s="552"/>
      <c r="AG14" s="553" t="s">
        <v>744</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6" customFormat="1" ht="15" hidden="1" customHeight="1">
      <c r="A15" s="545"/>
      <c r="B15" s="546"/>
      <c r="C15" s="546"/>
      <c r="D15" s="4846"/>
      <c r="E15" s="4842" t="s">
        <v>699</v>
      </c>
      <c r="F15" s="4843"/>
      <c r="G15" s="4844"/>
      <c r="H15" s="4848" t="str">
        <f>IF(A14="","",INDEX(DIFFERENTIATION_UNMERGE_AREA,MATCH(A14,DIFFERENTIATION_ID_DIFF,0)))</f>
        <v/>
      </c>
      <c r="I15" s="4848"/>
      <c r="J15" s="4848"/>
      <c r="K15" s="4848"/>
      <c r="L15" s="4848"/>
      <c r="M15" s="4848"/>
      <c r="N15" s="4848"/>
      <c r="O15" s="4848"/>
      <c r="P15" s="4848"/>
      <c r="Q15" s="4848"/>
      <c r="R15" s="4848"/>
      <c r="S15" s="639"/>
      <c r="T15" s="636"/>
      <c r="U15" s="547"/>
      <c r="V15" s="547"/>
      <c r="W15" s="548"/>
      <c r="X15" s="548"/>
      <c r="Y15" s="548"/>
      <c r="Z15" s="548"/>
      <c r="AA15" s="549"/>
      <c r="AB15" s="550"/>
      <c r="AC15" s="4840"/>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6" customFormat="1" ht="15" hidden="1" customHeight="1">
      <c r="A16" s="545"/>
      <c r="B16" s="546"/>
      <c r="C16" s="546"/>
      <c r="D16" s="4846"/>
      <c r="E16" s="4842" t="s">
        <v>700</v>
      </c>
      <c r="F16" s="4843"/>
      <c r="G16" s="4844"/>
      <c r="H16" s="4848" t="str">
        <f>IF(A14="","",INDEX(DIFFERENTIATION_UNMERGE_SYSTEM,MATCH(A14,DIFFERENTIATION_ID_DIFF,0)))</f>
        <v>без дифференциации</v>
      </c>
      <c r="I16" s="4848"/>
      <c r="J16" s="4848"/>
      <c r="K16" s="4848"/>
      <c r="L16" s="4848"/>
      <c r="M16" s="4848"/>
      <c r="N16" s="4848"/>
      <c r="O16" s="4848"/>
      <c r="P16" s="4848"/>
      <c r="Q16" s="4848"/>
      <c r="R16" s="4848"/>
      <c r="S16" s="639"/>
      <c r="T16" s="636"/>
      <c r="U16" s="547"/>
      <c r="V16" s="547"/>
      <c r="W16" s="548"/>
      <c r="X16" s="548"/>
      <c r="Y16" s="548"/>
      <c r="Z16" s="548"/>
      <c r="AA16" s="549"/>
      <c r="AB16" s="550"/>
      <c r="AC16" s="4840"/>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6" customFormat="1" ht="22.5" hidden="1" customHeight="1">
      <c r="A17" s="555"/>
      <c r="B17" s="352"/>
      <c r="C17" s="347"/>
      <c r="D17" s="4846"/>
      <c r="E17" s="4841" t="s">
        <v>745</v>
      </c>
      <c r="F17" s="4841"/>
      <c r="G17" s="4841"/>
      <c r="H17" s="4841"/>
      <c r="I17" s="4841"/>
      <c r="J17" s="4841"/>
      <c r="K17" s="4841"/>
      <c r="L17" s="4841"/>
      <c r="M17" s="4841"/>
      <c r="N17" s="4841"/>
      <c r="O17" s="4841"/>
      <c r="P17" s="4841"/>
      <c r="Q17" s="484">
        <f>SUMIF(T18:T19,"i",Q18:Q19)</f>
        <v>0</v>
      </c>
      <c r="R17" s="925"/>
      <c r="S17" s="811" t="s">
        <v>746</v>
      </c>
      <c r="T17" s="637" t="s">
        <v>747</v>
      </c>
      <c r="U17" s="4758">
        <v>1</v>
      </c>
      <c r="V17" s="4758" t="str">
        <f>INDEX(B_FHD_FLAG_INDEX_1,1,MATCH(A14,B_FHD_FLAG_DIFFERENTIATION,0))</f>
        <v>отсутствует</v>
      </c>
      <c r="W17" s="352"/>
      <c r="X17" s="352"/>
      <c r="Y17" s="352"/>
      <c r="Z17" s="352"/>
      <c r="AA17" s="438"/>
      <c r="AB17" s="352"/>
      <c r="AC17" s="4840"/>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6" customFormat="1" ht="11.25" hidden="1" customHeight="1">
      <c r="A18" s="556"/>
      <c r="B18" s="438"/>
      <c r="C18" s="438"/>
      <c r="D18" s="4846"/>
      <c r="E18" s="557"/>
      <c r="F18" s="557">
        <v>0</v>
      </c>
      <c r="G18" s="557"/>
      <c r="H18" s="557"/>
      <c r="I18" s="557"/>
      <c r="J18" s="557"/>
      <c r="K18" s="557"/>
      <c r="L18" s="557"/>
      <c r="M18" s="557"/>
      <c r="N18" s="557"/>
      <c r="O18" s="557"/>
      <c r="P18" s="557"/>
      <c r="Q18" s="557"/>
      <c r="R18" s="557"/>
      <c r="S18" s="558"/>
      <c r="T18" s="638"/>
      <c r="U18" s="4758"/>
      <c r="V18" s="4758"/>
      <c r="W18" s="438"/>
      <c r="X18" s="438"/>
      <c r="Y18" s="438"/>
      <c r="Z18" s="438"/>
      <c r="AA18" s="438"/>
      <c r="AB18" s="352"/>
      <c r="AC18" s="4840"/>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6" customFormat="1" ht="11.25" hidden="1" customHeight="1">
      <c r="A19" s="555"/>
      <c r="B19" s="352"/>
      <c r="C19" s="347"/>
      <c r="D19" s="4846"/>
      <c r="E19" s="571" t="s">
        <v>24</v>
      </c>
      <c r="F19" s="572" t="s">
        <v>24</v>
      </c>
      <c r="G19" s="572" t="s">
        <v>24</v>
      </c>
      <c r="H19" s="573" t="s">
        <v>24</v>
      </c>
      <c r="I19" s="573"/>
      <c r="J19" s="573"/>
      <c r="K19" s="573"/>
      <c r="L19" s="573"/>
      <c r="M19" s="573"/>
      <c r="N19" s="573"/>
      <c r="O19" s="573"/>
      <c r="P19" s="573"/>
      <c r="Q19" s="573"/>
      <c r="R19" s="574"/>
      <c r="S19" s="928"/>
      <c r="T19" s="638"/>
      <c r="U19" s="4758"/>
      <c r="V19" s="4758"/>
      <c r="W19" s="352"/>
      <c r="X19" s="352"/>
      <c r="Y19" s="352"/>
      <c r="Z19" s="352"/>
      <c r="AA19" s="438"/>
      <c r="AB19" s="352"/>
      <c r="AC19" s="4840"/>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6" customFormat="1" ht="22.5" hidden="1" customHeight="1">
      <c r="A20" s="555"/>
      <c r="B20" s="352"/>
      <c r="C20" s="347"/>
      <c r="D20" s="4846"/>
      <c r="E20" s="4841" t="s">
        <v>748</v>
      </c>
      <c r="F20" s="4841"/>
      <c r="G20" s="4841"/>
      <c r="H20" s="4841"/>
      <c r="I20" s="4841"/>
      <c r="J20" s="4841"/>
      <c r="K20" s="4841"/>
      <c r="L20" s="4841"/>
      <c r="M20" s="4841"/>
      <c r="N20" s="4841"/>
      <c r="O20" s="4841"/>
      <c r="P20" s="4841"/>
      <c r="Q20" s="484">
        <f>SUMIF(T21:T22,"i",Q21:Q22)</f>
        <v>0</v>
      </c>
      <c r="R20" s="925"/>
      <c r="S20" s="629" t="s">
        <v>749</v>
      </c>
      <c r="T20" s="637" t="s">
        <v>747</v>
      </c>
      <c r="U20" s="4758">
        <v>2</v>
      </c>
      <c r="V20" s="4758"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6" customFormat="1" ht="11.25" hidden="1" customHeight="1">
      <c r="A21" s="628"/>
      <c r="B21" s="438"/>
      <c r="C21" s="438"/>
      <c r="D21" s="4846"/>
      <c r="E21" s="557"/>
      <c r="F21" s="557">
        <v>0</v>
      </c>
      <c r="G21" s="557"/>
      <c r="H21" s="557"/>
      <c r="I21" s="557"/>
      <c r="J21" s="557"/>
      <c r="K21" s="557"/>
      <c r="L21" s="557"/>
      <c r="M21" s="557"/>
      <c r="N21" s="557"/>
      <c r="O21" s="557"/>
      <c r="P21" s="557"/>
      <c r="Q21" s="557"/>
      <c r="R21" s="557"/>
      <c r="S21" s="558"/>
      <c r="T21" s="638"/>
      <c r="U21" s="4758"/>
      <c r="V21" s="4758"/>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6" customFormat="1" ht="11.25" hidden="1" customHeight="1">
      <c r="A22" s="555"/>
      <c r="B22" s="352"/>
      <c r="C22" s="347"/>
      <c r="D22" s="4847"/>
      <c r="E22" s="571" t="s">
        <v>24</v>
      </c>
      <c r="F22" s="572" t="s">
        <v>24</v>
      </c>
      <c r="G22" s="572" t="s">
        <v>24</v>
      </c>
      <c r="H22" s="573" t="s">
        <v>24</v>
      </c>
      <c r="I22" s="573"/>
      <c r="J22" s="573"/>
      <c r="K22" s="573"/>
      <c r="L22" s="573"/>
      <c r="M22" s="573"/>
      <c r="N22" s="573"/>
      <c r="O22" s="573"/>
      <c r="P22" s="573"/>
      <c r="Q22" s="573"/>
      <c r="R22" s="574"/>
      <c r="S22" s="928"/>
      <c r="T22" s="638"/>
      <c r="U22" s="4758"/>
      <c r="V22" s="4758"/>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8.75" customHeight="1">
      <c r="D23" s="955"/>
      <c r="E23" s="955"/>
      <c r="F23" s="955"/>
      <c r="G23" s="955"/>
      <c r="H23" s="955"/>
      <c r="I23" s="955"/>
      <c r="J23" s="955"/>
      <c r="K23" s="955"/>
      <c r="L23" s="955"/>
      <c r="M23" s="955"/>
      <c r="N23" s="955"/>
      <c r="O23" s="955"/>
      <c r="P23" s="955"/>
      <c r="Q23" s="955"/>
      <c r="R23" s="955"/>
      <c r="S23" s="955"/>
      <c r="T23" s="261"/>
    </row>
    <row r="24" spans="1:83" ht="11.25" customHeight="1">
      <c r="D24" s="436"/>
    </row>
    <row r="25" spans="1:83" ht="11.25" customHeight="1">
      <c r="D25" s="576"/>
      <c r="E25" s="576"/>
      <c r="F25" s="576"/>
      <c r="G25" s="577"/>
    </row>
    <row r="27" spans="1:83" ht="11.25" customHeight="1">
      <c r="D27" s="578"/>
      <c r="E27" s="4849"/>
      <c r="F27" s="4849"/>
      <c r="G27" s="4849"/>
      <c r="H27" s="4849"/>
      <c r="I27" s="4849"/>
      <c r="J27" s="4849"/>
      <c r="K27" s="4849"/>
      <c r="L27" s="4849"/>
      <c r="M27" s="4849"/>
      <c r="N27" s="4849"/>
      <c r="O27" s="4849"/>
      <c r="P27" s="4849"/>
      <c r="Q27" s="4849"/>
      <c r="R27" s="4849"/>
    </row>
    <row r="28" spans="1:83" ht="11.25" customHeight="1">
      <c r="F28" s="676"/>
      <c r="G28" s="67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9" tint="-0.249977111117893"/>
  </sheetPr>
  <dimension ref="A1:AE218"/>
  <sheetViews>
    <sheetView showGridLines="0" topLeftCell="D5" zoomScale="90" workbookViewId="0"/>
  </sheetViews>
  <sheetFormatPr defaultColWidth="9.140625" defaultRowHeight="11.25" customHeight="1"/>
  <cols>
    <col min="1" max="1" width="10.7109375" style="4067" hidden="1" customWidth="1"/>
    <col min="2" max="2" width="16.85546875" style="1835" hidden="1" customWidth="1"/>
    <col min="3" max="3" width="5.5703125" style="1834" hidden="1" customWidth="1"/>
    <col min="4" max="4" width="3.7109375" style="4073" customWidth="1"/>
    <col min="5" max="5" width="7.7109375" style="1924" customWidth="1"/>
    <col min="6" max="6" width="56.140625" style="1924" customWidth="1"/>
    <col min="7" max="7" width="10.42578125" style="1924" customWidth="1"/>
    <col min="8" max="8" width="40.7109375" style="1924" hidden="1" customWidth="1"/>
    <col min="9" max="9" width="40.7109375" style="1924" customWidth="1"/>
    <col min="10" max="10" width="102.85546875" style="1924" customWidth="1"/>
    <col min="11" max="11" width="9.7109375" style="1835" customWidth="1"/>
    <col min="12" max="12" width="5.28515625" style="1834" customWidth="1"/>
    <col min="13" max="13" width="3.7109375" style="1834" customWidth="1"/>
    <col min="14" max="17" width="3.7109375" style="1835" customWidth="1"/>
    <col min="18" max="18" width="10.5703125" style="1834" customWidth="1"/>
    <col min="19" max="19" width="34.7109375" style="1835" customWidth="1"/>
    <col min="20" max="20" width="9.42578125" style="1835" customWidth="1"/>
    <col min="21" max="21" width="9.140625" style="4068"/>
    <col min="22" max="26" width="9.140625" style="1835"/>
    <col min="27" max="31" width="9.140625" style="1923"/>
  </cols>
  <sheetData>
    <row r="1" spans="1:31" s="1835" customFormat="1" ht="11.25" hidden="1" customHeight="1">
      <c r="A1" s="896"/>
      <c r="C1" s="1549"/>
      <c r="D1" s="463"/>
      <c r="H1" s="1061">
        <v>4</v>
      </c>
      <c r="I1" s="1061">
        <v>4</v>
      </c>
      <c r="L1" s="1549"/>
      <c r="M1" s="1549"/>
      <c r="R1" s="1549"/>
    </row>
    <row r="2" spans="1:31" s="1835" customFormat="1" ht="22.5" hidden="1" customHeight="1">
      <c r="A2" s="896"/>
      <c r="C2" s="1549"/>
      <c r="D2" s="464"/>
      <c r="E2" s="1550"/>
      <c r="F2" s="466"/>
      <c r="G2" s="1552" t="s">
        <v>687</v>
      </c>
      <c r="H2" s="467"/>
      <c r="I2" s="467"/>
      <c r="J2" s="468" t="s">
        <v>750</v>
      </c>
      <c r="K2" s="469"/>
      <c r="L2" s="1549"/>
      <c r="M2" s="1549"/>
      <c r="R2" s="1549"/>
      <c r="U2" s="470"/>
      <c r="AA2" s="1545"/>
      <c r="AB2" s="1545"/>
      <c r="AC2" s="1545"/>
      <c r="AD2" s="1545"/>
      <c r="AE2" s="1545"/>
    </row>
    <row r="3" spans="1:31" ht="11.25" hidden="1" customHeight="1"/>
    <row r="4" spans="1:31" s="1923"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22.5" customHeight="1">
      <c r="E6" s="4703" t="s">
        <v>751</v>
      </c>
      <c r="F6" s="4703"/>
      <c r="G6" s="4703"/>
      <c r="H6" s="4703"/>
      <c r="I6" s="4703"/>
      <c r="J6" s="482"/>
    </row>
    <row r="7" spans="1:31" ht="24" customHeight="1">
      <c r="E7" s="4690" t="str">
        <f>IF(org=0,"Не определено",org)</f>
        <v>ОГКП "Ульяновский областной водоканал"</v>
      </c>
      <c r="F7" s="4690"/>
      <c r="G7" s="4690"/>
      <c r="H7" s="4690"/>
      <c r="I7" s="4690"/>
    </row>
    <row r="8" spans="1:31" ht="11.25" customHeight="1">
      <c r="E8" s="1038"/>
      <c r="F8" s="1038"/>
      <c r="G8" s="1038"/>
      <c r="H8" s="1038"/>
      <c r="I8" s="1038"/>
    </row>
    <row r="9" spans="1:31" s="1834" customFormat="1" ht="0.75" customHeight="1">
      <c r="A9" s="1068"/>
      <c r="D9" s="1554"/>
      <c r="H9" s="803"/>
      <c r="I9" s="803" t="s">
        <v>179</v>
      </c>
    </row>
    <row r="10" spans="1:31" ht="11.25" customHeight="1">
      <c r="E10" s="631"/>
      <c r="F10" s="4834" t="s">
        <v>170</v>
      </c>
      <c r="G10" s="4835"/>
      <c r="H10" s="1471" t="str">
        <f>IF(H9="","",INDEX(DIFFERENTIATION_UNMERGE_VD,MATCH(H9,DIFFERENTIATION_ID_DIFF,0)))</f>
        <v/>
      </c>
      <c r="I10" s="1471">
        <f>IF(I9="","",INDEX(DIFFERENTIATION_UNMERGE_VD,MATCH(I9,DIFFERENTIATION_ID_DIFF,0)))</f>
        <v>0</v>
      </c>
      <c r="J10" s="4627"/>
    </row>
    <row r="11" spans="1:31" ht="11.25" customHeight="1">
      <c r="E11" s="631"/>
      <c r="F11" s="4834" t="s">
        <v>699</v>
      </c>
      <c r="G11" s="4835"/>
      <c r="H11" s="1471" t="str">
        <f>IF(H9="","",INDEX(DIFFERENTIATION_UNMERGE_AREA,MATCH(H9,DIFFERENTIATION_ID_DIFF,0)))</f>
        <v/>
      </c>
      <c r="I11" s="1471" t="str">
        <f>IF(I9="","",INDEX(DIFFERENTIATION_UNMERGE_AREA,MATCH(I9,DIFFERENTIATION_ID_DIFF,0)))</f>
        <v/>
      </c>
      <c r="J11" s="4627"/>
    </row>
    <row r="12" spans="1:31" ht="11.25" hidden="1" customHeight="1">
      <c r="E12" s="1574"/>
      <c r="F12" s="4850" t="s">
        <v>700</v>
      </c>
      <c r="G12" s="4851"/>
      <c r="H12" s="1575" t="str">
        <f>IF(H9="","",INDEX(DIFFERENTIATION_UNMERGE_SYSTEM,MATCH(H9,DIFFERENTIATION_ID_DIFF,0)))</f>
        <v/>
      </c>
      <c r="I12" s="1575" t="str">
        <f>IF(I9="","",INDEX(DIFFERENTIATION_UNMERGE_SYSTEM,MATCH(I9,DIFFERENTIATION_ID_DIFF,0)))</f>
        <v>без дифференциации</v>
      </c>
      <c r="J12" s="4627"/>
    </row>
    <row r="13" spans="1:31" ht="11.25" customHeight="1">
      <c r="E13" s="4836" t="s">
        <v>439</v>
      </c>
      <c r="F13" s="4837"/>
      <c r="G13" s="4837"/>
      <c r="H13" s="1470"/>
      <c r="I13" s="1470"/>
      <c r="J13" s="4627"/>
    </row>
    <row r="14" spans="1:31" ht="22.5" customHeight="1">
      <c r="E14" s="1552" t="s">
        <v>86</v>
      </c>
      <c r="F14" s="1547" t="s">
        <v>441</v>
      </c>
      <c r="G14" s="1547" t="s">
        <v>701</v>
      </c>
      <c r="H14" s="1547" t="s">
        <v>442</v>
      </c>
      <c r="I14" s="1547" t="s">
        <v>442</v>
      </c>
      <c r="J14" s="4627"/>
    </row>
    <row r="15" spans="1:31" ht="18.75" customHeight="1">
      <c r="D15" s="1551"/>
      <c r="E15" s="1543" t="s">
        <v>174</v>
      </c>
      <c r="F15" s="627" t="s">
        <v>752</v>
      </c>
      <c r="G15" s="1558" t="s">
        <v>687</v>
      </c>
      <c r="H15" s="483"/>
      <c r="I15" s="483"/>
      <c r="J15" s="208" t="s">
        <v>753</v>
      </c>
      <c r="K15" s="469" t="s">
        <v>754</v>
      </c>
    </row>
    <row r="16" spans="1:31" ht="33.75" customHeight="1">
      <c r="D16" s="1551"/>
      <c r="E16" s="1543" t="s">
        <v>101</v>
      </c>
      <c r="F16" s="627" t="s">
        <v>755</v>
      </c>
      <c r="G16" s="1558" t="s">
        <v>687</v>
      </c>
      <c r="H16" s="484">
        <f>SUM(H17,H20:H32)</f>
        <v>0</v>
      </c>
      <c r="I16" s="484">
        <f>SUM(I17,I20:I32)</f>
        <v>0</v>
      </c>
      <c r="J16" s="208" t="s">
        <v>756</v>
      </c>
      <c r="K16" s="469" t="s">
        <v>754</v>
      </c>
    </row>
    <row r="17" spans="1:31" ht="18.75" customHeight="1">
      <c r="D17" s="1551"/>
      <c r="E17" s="1576" t="s">
        <v>757</v>
      </c>
      <c r="F17" s="864" t="s">
        <v>758</v>
      </c>
      <c r="G17" s="1555" t="s">
        <v>687</v>
      </c>
      <c r="H17" s="483"/>
      <c r="I17" s="483"/>
      <c r="J17" s="208" t="s">
        <v>759</v>
      </c>
      <c r="K17" s="469"/>
    </row>
    <row r="18" spans="1:31" ht="22.5" customHeight="1">
      <c r="D18" s="1551"/>
      <c r="E18" s="1576" t="s">
        <v>760</v>
      </c>
      <c r="F18" s="1562" t="s">
        <v>761</v>
      </c>
      <c r="G18" s="1555" t="s">
        <v>687</v>
      </c>
      <c r="H18" s="483"/>
      <c r="I18" s="483"/>
      <c r="J18" s="208" t="s">
        <v>762</v>
      </c>
      <c r="K18" s="469"/>
    </row>
    <row r="19" spans="1:31" ht="33.75" customHeight="1">
      <c r="D19" s="1551"/>
      <c r="E19" s="1576" t="s">
        <v>763</v>
      </c>
      <c r="F19" s="1562" t="s">
        <v>764</v>
      </c>
      <c r="G19" s="1555" t="s">
        <v>687</v>
      </c>
      <c r="H19" s="483"/>
      <c r="I19" s="483"/>
      <c r="J19" s="208"/>
      <c r="K19" s="469"/>
    </row>
    <row r="20" spans="1:31" ht="18.75" customHeight="1">
      <c r="D20" s="1551"/>
      <c r="E20" s="1576" t="s">
        <v>446</v>
      </c>
      <c r="F20" s="864" t="s">
        <v>765</v>
      </c>
      <c r="G20" s="1555" t="s">
        <v>687</v>
      </c>
      <c r="H20" s="483"/>
      <c r="I20" s="483"/>
      <c r="J20" s="208" t="s">
        <v>766</v>
      </c>
      <c r="K20" s="469"/>
    </row>
    <row r="21" spans="1:31" ht="18.75" customHeight="1">
      <c r="D21" s="1551"/>
      <c r="E21" s="1576" t="s">
        <v>767</v>
      </c>
      <c r="F21" s="1562" t="s">
        <v>768</v>
      </c>
      <c r="G21" s="1555" t="s">
        <v>687</v>
      </c>
      <c r="H21" s="483"/>
      <c r="I21" s="483"/>
      <c r="J21" s="208"/>
      <c r="K21" s="469"/>
    </row>
    <row r="22" spans="1:31" ht="18.75" customHeight="1">
      <c r="D22" s="1551"/>
      <c r="E22" s="1576" t="s">
        <v>769</v>
      </c>
      <c r="F22" s="1562" t="s">
        <v>770</v>
      </c>
      <c r="G22" s="1555" t="s">
        <v>687</v>
      </c>
      <c r="H22" s="483"/>
      <c r="I22" s="483"/>
      <c r="J22" s="208"/>
      <c r="K22" s="469"/>
    </row>
    <row r="23" spans="1:31" ht="22.5" customHeight="1">
      <c r="D23" s="1551"/>
      <c r="E23" s="1576" t="s">
        <v>449</v>
      </c>
      <c r="F23" s="864" t="s">
        <v>771</v>
      </c>
      <c r="G23" s="1555" t="s">
        <v>687</v>
      </c>
      <c r="H23" s="483"/>
      <c r="I23" s="483"/>
      <c r="J23" s="208" t="s">
        <v>772</v>
      </c>
      <c r="K23" s="469"/>
    </row>
    <row r="24" spans="1:31" ht="18.75" customHeight="1">
      <c r="D24" s="1551"/>
      <c r="E24" s="1576" t="s">
        <v>773</v>
      </c>
      <c r="F24" s="1562" t="s">
        <v>774</v>
      </c>
      <c r="G24" s="1555" t="s">
        <v>687</v>
      </c>
      <c r="H24" s="483"/>
      <c r="I24" s="483"/>
      <c r="J24" s="208"/>
      <c r="K24" s="469"/>
    </row>
    <row r="25" spans="1:31" ht="33.75" customHeight="1">
      <c r="D25" s="1551"/>
      <c r="E25" s="1576" t="s">
        <v>775</v>
      </c>
      <c r="F25" s="1562" t="s">
        <v>776</v>
      </c>
      <c r="G25" s="1555" t="s">
        <v>687</v>
      </c>
      <c r="H25" s="483"/>
      <c r="I25" s="483"/>
      <c r="J25" s="208"/>
      <c r="K25" s="469"/>
    </row>
    <row r="26" spans="1:31" ht="22.5" customHeight="1">
      <c r="D26" s="1551"/>
      <c r="E26" s="1576" t="s">
        <v>777</v>
      </c>
      <c r="F26" s="864" t="s">
        <v>778</v>
      </c>
      <c r="G26" s="1555" t="s">
        <v>687</v>
      </c>
      <c r="H26" s="483"/>
      <c r="I26" s="483"/>
      <c r="J26" s="208" t="s">
        <v>779</v>
      </c>
      <c r="K26" s="469"/>
    </row>
    <row r="27" spans="1:31" ht="18.75" customHeight="1">
      <c r="D27" s="1551"/>
      <c r="E27" s="1587" t="s">
        <v>780</v>
      </c>
      <c r="F27" s="1562" t="s">
        <v>781</v>
      </c>
      <c r="G27" s="1566" t="s">
        <v>687</v>
      </c>
      <c r="H27" s="1588"/>
      <c r="I27" s="1588"/>
      <c r="J27" s="208"/>
      <c r="K27" s="469"/>
    </row>
    <row r="28" spans="1:31" ht="18.75" customHeight="1">
      <c r="D28" s="1551"/>
      <c r="E28" s="1587" t="s">
        <v>782</v>
      </c>
      <c r="F28" s="1562" t="s">
        <v>783</v>
      </c>
      <c r="G28" s="1566" t="s">
        <v>687</v>
      </c>
      <c r="H28" s="1588"/>
      <c r="I28" s="1588"/>
      <c r="J28" s="208"/>
      <c r="K28" s="469"/>
    </row>
    <row r="29" spans="1:31" ht="18.75" customHeight="1">
      <c r="D29" s="1551"/>
      <c r="E29" s="1587" t="s">
        <v>784</v>
      </c>
      <c r="F29" s="864" t="s">
        <v>785</v>
      </c>
      <c r="G29" s="1566" t="s">
        <v>687</v>
      </c>
      <c r="H29" s="1588"/>
      <c r="I29" s="1588"/>
      <c r="J29" s="208"/>
      <c r="K29" s="469"/>
    </row>
    <row r="30" spans="1:31" ht="18.75" customHeight="1">
      <c r="D30" s="1551"/>
      <c r="E30" s="1587" t="s">
        <v>786</v>
      </c>
      <c r="F30" s="864" t="s">
        <v>787</v>
      </c>
      <c r="G30" s="1566" t="s">
        <v>687</v>
      </c>
      <c r="H30" s="1588"/>
      <c r="I30" s="1588"/>
      <c r="J30" s="208"/>
      <c r="K30" s="469"/>
    </row>
    <row r="31" spans="1:31" ht="18.75" customHeight="1">
      <c r="D31" s="1551"/>
      <c r="E31" s="1587" t="s">
        <v>788</v>
      </c>
      <c r="F31" s="864" t="s">
        <v>789</v>
      </c>
      <c r="G31" s="1566" t="s">
        <v>687</v>
      </c>
      <c r="H31" s="1588"/>
      <c r="I31" s="1588"/>
      <c r="J31" s="208"/>
      <c r="K31" s="469"/>
    </row>
    <row r="32" spans="1:31" s="1835" customFormat="1" ht="22.5" customHeight="1">
      <c r="A32" s="896"/>
      <c r="C32" s="1549"/>
      <c r="D32" s="1551"/>
      <c r="E32" s="1587" t="s">
        <v>790</v>
      </c>
      <c r="F32" s="864" t="s">
        <v>791</v>
      </c>
      <c r="G32" s="1556" t="s">
        <v>687</v>
      </c>
      <c r="H32" s="505">
        <f>SUM(H33:H34)</f>
        <v>0</v>
      </c>
      <c r="I32" s="505">
        <f>SUM(I33:I34)</f>
        <v>0</v>
      </c>
      <c r="J32" s="208" t="s">
        <v>792</v>
      </c>
      <c r="K32" s="469"/>
      <c r="L32" s="1549"/>
      <c r="M32" s="1549"/>
      <c r="R32" s="1549"/>
      <c r="U32" s="470"/>
      <c r="AA32" s="1545"/>
      <c r="AB32" s="1545"/>
      <c r="AC32" s="1545"/>
      <c r="AD32" s="1545"/>
      <c r="AE32" s="1545"/>
    </row>
    <row r="33" spans="1:31" s="1834" customFormat="1" ht="0.75" customHeight="1">
      <c r="A33" s="1068"/>
      <c r="D33" s="474"/>
      <c r="E33" s="720" t="str">
        <f>E32&amp;".0"</f>
        <v>2.8.0</v>
      </c>
      <c r="F33" s="900"/>
      <c r="G33" s="477"/>
      <c r="H33" s="901"/>
      <c r="I33" s="901"/>
      <c r="J33" s="902"/>
    </row>
    <row r="34" spans="1:31" s="1835" customFormat="1" ht="18.75" customHeight="1">
      <c r="A34" s="896"/>
      <c r="C34" s="1549"/>
      <c r="D34" s="1546"/>
      <c r="E34" s="496"/>
      <c r="F34" s="1578" t="s">
        <v>712</v>
      </c>
      <c r="G34" s="498"/>
      <c r="H34" s="499"/>
      <c r="I34" s="499"/>
      <c r="J34" s="220" t="s">
        <v>793</v>
      </c>
      <c r="K34" s="469"/>
      <c r="L34" s="1549"/>
      <c r="M34" s="1549"/>
      <c r="R34" s="1549"/>
      <c r="U34" s="470"/>
      <c r="AA34" s="1545"/>
      <c r="AB34" s="1545"/>
      <c r="AC34" s="1545"/>
      <c r="AD34" s="1545"/>
      <c r="AE34" s="1545"/>
    </row>
    <row r="35" spans="1:31" ht="56.25" customHeight="1">
      <c r="D35" s="1551"/>
      <c r="E35" s="1587" t="s">
        <v>794</v>
      </c>
      <c r="F35" s="864" t="s">
        <v>795</v>
      </c>
      <c r="G35" s="1566" t="s">
        <v>687</v>
      </c>
      <c r="H35" s="1588"/>
      <c r="I35" s="1588"/>
      <c r="J35" s="208" t="s">
        <v>796</v>
      </c>
      <c r="K35" s="469"/>
    </row>
    <row r="36" spans="1:31" s="1835" customFormat="1" ht="22.5" customHeight="1">
      <c r="A36" s="898" t="s">
        <v>713</v>
      </c>
      <c r="C36" s="1549"/>
      <c r="D36" s="1551"/>
      <c r="E36" s="1576" t="s">
        <v>88</v>
      </c>
      <c r="F36" s="627" t="s">
        <v>797</v>
      </c>
      <c r="G36" s="1555" t="s">
        <v>687</v>
      </c>
      <c r="H36" s="483"/>
      <c r="I36" s="483"/>
      <c r="J36" s="208" t="s">
        <v>798</v>
      </c>
      <c r="K36" s="469"/>
      <c r="L36" s="1549"/>
      <c r="M36" s="1549"/>
      <c r="R36" s="1549"/>
      <c r="U36" s="470"/>
      <c r="AA36" s="1545"/>
      <c r="AB36" s="1545"/>
      <c r="AC36" s="1545"/>
      <c r="AD36" s="1545"/>
      <c r="AE36" s="1545"/>
    </row>
    <row r="37" spans="1:31" s="1835" customFormat="1" ht="22.5" customHeight="1">
      <c r="A37" s="898"/>
      <c r="C37" s="1549"/>
      <c r="D37" s="1551"/>
      <c r="E37" s="1576" t="s">
        <v>465</v>
      </c>
      <c r="F37" s="864" t="s">
        <v>799</v>
      </c>
      <c r="G37" s="1566"/>
      <c r="H37" s="483"/>
      <c r="I37" s="483"/>
      <c r="J37" s="208"/>
      <c r="K37" s="469"/>
      <c r="L37" s="1549"/>
      <c r="M37" s="1549"/>
      <c r="R37" s="1549"/>
      <c r="U37" s="470"/>
      <c r="AA37" s="1545"/>
      <c r="AB37" s="1545"/>
      <c r="AC37" s="1545"/>
      <c r="AD37" s="1545"/>
      <c r="AE37" s="1545"/>
    </row>
    <row r="38" spans="1:31" s="1835" customFormat="1" ht="18.75" customHeight="1">
      <c r="A38" s="896"/>
      <c r="C38" s="1549"/>
      <c r="D38" s="501"/>
      <c r="E38" s="1576" t="s">
        <v>89</v>
      </c>
      <c r="F38" s="627" t="s">
        <v>800</v>
      </c>
      <c r="G38" s="1555" t="s">
        <v>687</v>
      </c>
      <c r="H38" s="483"/>
      <c r="I38" s="483"/>
      <c r="J38" s="208" t="s">
        <v>801</v>
      </c>
      <c r="K38" s="469"/>
      <c r="L38" s="1549"/>
      <c r="M38" s="1549"/>
      <c r="R38" s="1549"/>
      <c r="U38" s="470"/>
      <c r="AA38" s="1545"/>
      <c r="AB38" s="1545"/>
      <c r="AC38" s="1545"/>
      <c r="AD38" s="1545"/>
      <c r="AE38" s="1545"/>
    </row>
    <row r="39" spans="1:31" s="1835" customFormat="1" ht="22.5" customHeight="1">
      <c r="A39" s="896"/>
      <c r="C39" s="1549"/>
      <c r="D39" s="501"/>
      <c r="E39" s="1576" t="s">
        <v>802</v>
      </c>
      <c r="F39" s="864" t="s">
        <v>803</v>
      </c>
      <c r="G39" s="1566" t="s">
        <v>687</v>
      </c>
      <c r="H39" s="483"/>
      <c r="I39" s="483"/>
      <c r="J39" s="208" t="s">
        <v>804</v>
      </c>
      <c r="K39" s="469"/>
      <c r="L39" s="1549"/>
      <c r="M39" s="1549"/>
      <c r="R39" s="1549"/>
      <c r="U39" s="470"/>
      <c r="AA39" s="1545"/>
      <c r="AB39" s="1545"/>
      <c r="AC39" s="1545"/>
      <c r="AD39" s="1545"/>
      <c r="AE39" s="1545"/>
    </row>
    <row r="40" spans="1:31" s="1835" customFormat="1" ht="22.5" customHeight="1">
      <c r="A40" s="896"/>
      <c r="C40" s="1549"/>
      <c r="D40" s="1551"/>
      <c r="E40" s="1576" t="s">
        <v>805</v>
      </c>
      <c r="F40" s="1562" t="s">
        <v>806</v>
      </c>
      <c r="G40" s="1555" t="s">
        <v>687</v>
      </c>
      <c r="H40" s="483"/>
      <c r="I40" s="483"/>
      <c r="J40" s="208" t="s">
        <v>807</v>
      </c>
      <c r="K40" s="469"/>
      <c r="L40" s="1549"/>
      <c r="M40" s="1549"/>
      <c r="R40" s="1549"/>
      <c r="U40" s="470"/>
      <c r="AA40" s="1545"/>
      <c r="AB40" s="1545"/>
      <c r="AC40" s="1545"/>
      <c r="AD40" s="1545"/>
      <c r="AE40" s="1545"/>
    </row>
    <row r="41" spans="1:31" s="1835" customFormat="1" ht="22.5" customHeight="1">
      <c r="A41" s="896"/>
      <c r="C41" s="1549"/>
      <c r="D41" s="1551"/>
      <c r="E41" s="1576" t="s">
        <v>808</v>
      </c>
      <c r="F41" s="1562" t="s">
        <v>809</v>
      </c>
      <c r="G41" s="1555" t="s">
        <v>687</v>
      </c>
      <c r="H41" s="483"/>
      <c r="I41" s="483"/>
      <c r="J41" s="208" t="s">
        <v>810</v>
      </c>
      <c r="K41" s="469"/>
      <c r="L41" s="1549"/>
      <c r="M41" s="1549"/>
      <c r="R41" s="1549"/>
      <c r="U41" s="470"/>
      <c r="AA41" s="1545"/>
      <c r="AB41" s="1545"/>
      <c r="AC41" s="1545"/>
      <c r="AD41" s="1545"/>
      <c r="AE41" s="1545"/>
    </row>
    <row r="42" spans="1:31" s="1835" customFormat="1" ht="22.5" customHeight="1">
      <c r="A42" s="896"/>
      <c r="C42" s="1549"/>
      <c r="D42" s="1551"/>
      <c r="E42" s="1576" t="s">
        <v>811</v>
      </c>
      <c r="F42" s="1562" t="s">
        <v>812</v>
      </c>
      <c r="G42" s="1555" t="s">
        <v>687</v>
      </c>
      <c r="H42" s="483"/>
      <c r="I42" s="483"/>
      <c r="J42" s="208" t="s">
        <v>813</v>
      </c>
      <c r="K42" s="469"/>
      <c r="L42" s="1549"/>
      <c r="M42" s="1549"/>
      <c r="R42" s="1549"/>
      <c r="U42" s="470"/>
      <c r="AA42" s="1545"/>
      <c r="AB42" s="1545"/>
      <c r="AC42" s="1545"/>
      <c r="AD42" s="1545"/>
      <c r="AE42" s="1545"/>
    </row>
    <row r="43" spans="1:31" s="1835" customFormat="1" ht="33.75" customHeight="1">
      <c r="A43" s="896"/>
      <c r="C43" s="1549" t="s">
        <v>723</v>
      </c>
      <c r="D43" s="1551"/>
      <c r="E43" s="1576" t="s">
        <v>128</v>
      </c>
      <c r="F43" s="627" t="s">
        <v>814</v>
      </c>
      <c r="G43" s="1558" t="s">
        <v>815</v>
      </c>
      <c r="H43" s="336"/>
      <c r="I43" s="336"/>
      <c r="J43" s="208" t="s">
        <v>816</v>
      </c>
      <c r="K43" s="469"/>
      <c r="L43" s="1549"/>
      <c r="M43" s="1549"/>
      <c r="R43" s="1549"/>
      <c r="U43" s="470"/>
      <c r="AA43" s="1545"/>
      <c r="AB43" s="1545"/>
      <c r="AC43" s="1545"/>
      <c r="AD43" s="1545"/>
      <c r="AE43" s="1545"/>
    </row>
    <row r="44" spans="1:31" s="1835" customFormat="1" ht="22.5" customHeight="1">
      <c r="A44" s="896"/>
      <c r="C44" s="1549"/>
      <c r="D44" s="1551"/>
      <c r="E44" s="1576" t="s">
        <v>90</v>
      </c>
      <c r="F44" s="627" t="s">
        <v>817</v>
      </c>
      <c r="G44" s="1555" t="s">
        <v>818</v>
      </c>
      <c r="H44" s="471"/>
      <c r="I44" s="471"/>
      <c r="J44" s="208" t="s">
        <v>819</v>
      </c>
      <c r="K44" s="469"/>
      <c r="L44" s="1549"/>
      <c r="M44" s="1549"/>
      <c r="R44" s="1549"/>
      <c r="U44" s="470"/>
      <c r="AA44" s="1545"/>
      <c r="AB44" s="1545"/>
      <c r="AC44" s="1545"/>
      <c r="AD44" s="1545"/>
      <c r="AE44" s="1545"/>
    </row>
    <row r="45" spans="1:31" s="1835" customFormat="1" ht="22.5" customHeight="1">
      <c r="A45" s="896"/>
      <c r="C45" s="1549"/>
      <c r="D45" s="1551"/>
      <c r="E45" s="1576" t="s">
        <v>91</v>
      </c>
      <c r="F45" s="627" t="s">
        <v>820</v>
      </c>
      <c r="G45" s="1566" t="s">
        <v>821</v>
      </c>
      <c r="H45" s="471"/>
      <c r="I45" s="471"/>
      <c r="J45" s="208" t="s">
        <v>822</v>
      </c>
      <c r="K45" s="469"/>
      <c r="L45" s="1549"/>
      <c r="M45" s="1549"/>
      <c r="R45" s="1549"/>
      <c r="U45" s="470"/>
      <c r="AA45" s="1545"/>
      <c r="AB45" s="1545"/>
      <c r="AC45" s="1545"/>
      <c r="AD45" s="1545"/>
      <c r="AE45" s="1545"/>
    </row>
    <row r="46" spans="1:31" s="1835" customFormat="1" ht="18.75" customHeight="1">
      <c r="A46" s="896"/>
      <c r="C46" s="1549"/>
      <c r="D46" s="1551"/>
      <c r="E46" s="1576" t="s">
        <v>138</v>
      </c>
      <c r="F46" s="627" t="s">
        <v>823</v>
      </c>
      <c r="G46" s="1555" t="s">
        <v>725</v>
      </c>
      <c r="H46" s="503"/>
      <c r="I46" s="503"/>
      <c r="J46" s="208"/>
      <c r="K46" s="469"/>
      <c r="L46" s="1549"/>
      <c r="M46" s="1549"/>
      <c r="R46" s="1549"/>
      <c r="U46" s="470"/>
      <c r="AA46" s="1545"/>
      <c r="AB46" s="1545"/>
      <c r="AC46" s="1545"/>
      <c r="AD46" s="1545"/>
      <c r="AE46" s="1545"/>
    </row>
    <row r="47" spans="1:31" ht="11.25" customHeight="1">
      <c r="D47" s="1551"/>
    </row>
    <row r="48" spans="1:31" ht="26.25" customHeight="1">
      <c r="D48" s="1551"/>
      <c r="E48" s="1165"/>
      <c r="F48" s="4779"/>
      <c r="G48" s="4779"/>
      <c r="H48" s="4779"/>
      <c r="I48" s="4779"/>
      <c r="J48" s="4779"/>
    </row>
    <row r="49" spans="1:31" s="4069" customFormat="1" ht="37.5" customHeight="1">
      <c r="A49" s="896"/>
      <c r="B49" s="1549"/>
      <c r="C49" s="1549"/>
      <c r="D49" s="277"/>
      <c r="F49" s="4779"/>
      <c r="G49" s="4779"/>
      <c r="H49" s="4779"/>
      <c r="I49" s="4779"/>
      <c r="J49" s="4779"/>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4069"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4069"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4069" customFormat="1" ht="11.25" customHeight="1">
      <c r="A52" s="896"/>
      <c r="B52" s="1549"/>
      <c r="C52" s="1549"/>
      <c r="D52" s="277"/>
      <c r="H52" s="492"/>
      <c r="I52" s="492"/>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4069"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4069"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4069"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4069"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4069"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4069"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4069"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4069"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4069"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4069"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4069"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4069"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4069"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4069"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4069"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4069"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4069"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4069"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4069"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4069"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4069"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4069"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4069"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4069"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4069"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4069"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4069"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4069"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4069"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4069"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4069"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4069"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4069"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4069"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4069"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4069"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4069"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4069"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4069"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4069"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4069"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4069"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4069"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4069"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4069"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4069"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4069"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4069"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4069"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4069"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4069"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4069"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4069"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4069"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4069"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4069"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4069"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4069"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4069"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4069"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4069"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4069"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4069"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4069"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4069"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4069"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4069"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4069"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4069"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4069"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4069"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4069"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4069"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4069"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4069"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4069"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4069"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4069"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4069"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4069"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4069"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406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406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4069"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406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406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406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406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406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406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406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406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406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406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406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406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406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406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406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406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406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406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406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406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406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406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406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406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406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406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406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406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406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406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406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406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406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406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406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406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406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406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406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406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406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406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406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406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406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406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406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406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406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406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406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406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406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406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406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406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406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406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406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4069"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4069"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4069"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4069"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4069"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4069"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4069"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4069"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4069"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row r="210" spans="1:31" ht="11.25" customHeight="1">
      <c r="A210" s="899"/>
      <c r="B210" s="1544"/>
      <c r="D210" s="1544"/>
      <c r="K210" s="1544"/>
      <c r="N210" s="1544"/>
      <c r="O210" s="1544"/>
      <c r="P210" s="1544"/>
      <c r="Q210" s="1544"/>
      <c r="S210" s="1544"/>
      <c r="T210" s="1544"/>
      <c r="U210" s="1544"/>
      <c r="V210" s="1544"/>
      <c r="W210" s="1544"/>
      <c r="X210" s="1544"/>
      <c r="Y210" s="1544"/>
      <c r="Z210" s="1544"/>
      <c r="AA210" s="1544"/>
      <c r="AB210" s="1544"/>
      <c r="AC210" s="1544"/>
      <c r="AD210" s="1544"/>
      <c r="AE210" s="1544"/>
    </row>
    <row r="211" spans="1:31" ht="11.25" customHeight="1">
      <c r="A211" s="899"/>
      <c r="B211" s="1544"/>
      <c r="D211" s="1544"/>
      <c r="K211" s="1544"/>
      <c r="N211" s="1544"/>
      <c r="O211" s="1544"/>
      <c r="P211" s="1544"/>
      <c r="Q211" s="1544"/>
      <c r="S211" s="1544"/>
      <c r="T211" s="1544"/>
      <c r="U211" s="1544"/>
      <c r="V211" s="1544"/>
      <c r="W211" s="1544"/>
      <c r="X211" s="1544"/>
      <c r="Y211" s="1544"/>
      <c r="Z211" s="1544"/>
      <c r="AA211" s="1544"/>
      <c r="AB211" s="1544"/>
      <c r="AC211" s="1544"/>
      <c r="AD211" s="1544"/>
      <c r="AE211" s="1544"/>
    </row>
    <row r="212" spans="1:31" ht="11.25" customHeight="1">
      <c r="A212" s="899"/>
      <c r="B212" s="1544"/>
      <c r="D212" s="1544"/>
      <c r="K212" s="1544"/>
      <c r="N212" s="1544"/>
      <c r="O212" s="1544"/>
      <c r="P212" s="1544"/>
      <c r="Q212" s="1544"/>
      <c r="S212" s="1544"/>
      <c r="T212" s="1544"/>
      <c r="U212" s="1544"/>
      <c r="V212" s="1544"/>
      <c r="W212" s="1544"/>
      <c r="X212" s="1544"/>
      <c r="Y212" s="1544"/>
      <c r="Z212" s="1544"/>
      <c r="AA212" s="1544"/>
      <c r="AB212" s="1544"/>
      <c r="AC212" s="1544"/>
      <c r="AD212" s="1544"/>
      <c r="AE212" s="1544"/>
    </row>
    <row r="213" spans="1:31" ht="11.25" customHeight="1">
      <c r="A213" s="899"/>
      <c r="B213" s="1544"/>
      <c r="D213" s="1544"/>
      <c r="K213" s="1544"/>
      <c r="N213" s="1544"/>
      <c r="O213" s="1544"/>
      <c r="P213" s="1544"/>
      <c r="Q213" s="1544"/>
      <c r="S213" s="1544"/>
      <c r="T213" s="1544"/>
      <c r="U213" s="1544"/>
      <c r="V213" s="1544"/>
      <c r="W213" s="1544"/>
      <c r="X213" s="1544"/>
      <c r="Y213" s="1544"/>
      <c r="Z213" s="1544"/>
      <c r="AA213" s="1544"/>
      <c r="AB213" s="1544"/>
      <c r="AC213" s="1544"/>
      <c r="AD213" s="1544"/>
      <c r="AE213" s="1544"/>
    </row>
    <row r="214" spans="1:31" ht="11.25" customHeight="1">
      <c r="A214" s="899"/>
      <c r="B214" s="1544"/>
      <c r="D214" s="1544"/>
      <c r="K214" s="1544"/>
      <c r="N214" s="1544"/>
      <c r="O214" s="1544"/>
      <c r="P214" s="1544"/>
      <c r="Q214" s="1544"/>
      <c r="S214" s="1544"/>
      <c r="T214" s="1544"/>
      <c r="U214" s="1544"/>
      <c r="V214" s="1544"/>
      <c r="W214" s="1544"/>
      <c r="X214" s="1544"/>
      <c r="Y214" s="1544"/>
      <c r="Z214" s="1544"/>
      <c r="AA214" s="1544"/>
      <c r="AB214" s="1544"/>
      <c r="AC214" s="1544"/>
      <c r="AD214" s="1544"/>
      <c r="AE214" s="1544"/>
    </row>
    <row r="215" spans="1:31" ht="11.25" customHeight="1">
      <c r="A215" s="899"/>
      <c r="B215" s="1544"/>
      <c r="D215" s="1544"/>
      <c r="K215" s="1544"/>
      <c r="N215" s="1544"/>
      <c r="O215" s="1544"/>
      <c r="P215" s="1544"/>
      <c r="Q215" s="1544"/>
      <c r="S215" s="1544"/>
      <c r="T215" s="1544"/>
      <c r="U215" s="1544"/>
      <c r="V215" s="1544"/>
      <c r="W215" s="1544"/>
      <c r="X215" s="1544"/>
      <c r="Y215" s="1544"/>
      <c r="Z215" s="1544"/>
      <c r="AA215" s="1544"/>
      <c r="AB215" s="1544"/>
      <c r="AC215" s="1544"/>
      <c r="AD215" s="1544"/>
      <c r="AE215" s="1544"/>
    </row>
    <row r="216" spans="1:31" ht="11.25" customHeight="1">
      <c r="A216" s="899"/>
      <c r="B216" s="1544"/>
      <c r="D216" s="1544"/>
      <c r="K216" s="1544"/>
      <c r="N216" s="1544"/>
      <c r="O216" s="1544"/>
      <c r="P216" s="1544"/>
      <c r="Q216" s="1544"/>
      <c r="S216" s="1544"/>
      <c r="T216" s="1544"/>
      <c r="U216" s="1544"/>
      <c r="V216" s="1544"/>
      <c r="W216" s="1544"/>
      <c r="X216" s="1544"/>
      <c r="Y216" s="1544"/>
      <c r="Z216" s="1544"/>
      <c r="AA216" s="1544"/>
      <c r="AB216" s="1544"/>
      <c r="AC216" s="1544"/>
      <c r="AD216" s="1544"/>
      <c r="AE216" s="1544"/>
    </row>
    <row r="217" spans="1:31" ht="11.25" customHeight="1">
      <c r="A217" s="899"/>
      <c r="B217" s="1544"/>
      <c r="D217" s="1544"/>
      <c r="K217" s="1544"/>
      <c r="N217" s="1544"/>
      <c r="O217" s="1544"/>
      <c r="P217" s="1544"/>
      <c r="Q217" s="1544"/>
      <c r="S217" s="1544"/>
      <c r="T217" s="1544"/>
      <c r="U217" s="1544"/>
      <c r="V217" s="1544"/>
      <c r="W217" s="1544"/>
      <c r="X217" s="1544"/>
      <c r="Y217" s="1544"/>
      <c r="Z217" s="1544"/>
      <c r="AA217" s="1544"/>
      <c r="AB217" s="1544"/>
      <c r="AC217" s="1544"/>
      <c r="AD217" s="1544"/>
      <c r="AE217" s="1544"/>
    </row>
    <row r="218" spans="1:31" ht="11.25" customHeight="1">
      <c r="A218" s="899"/>
      <c r="B218" s="1544"/>
      <c r="D218" s="1544"/>
      <c r="K218" s="1544"/>
      <c r="N218" s="1544"/>
      <c r="O218" s="1544"/>
      <c r="P218" s="1544"/>
      <c r="Q218" s="1544"/>
      <c r="S218" s="1544"/>
      <c r="T218" s="1544"/>
      <c r="U218" s="1544"/>
      <c r="V218" s="1544"/>
      <c r="W218" s="1544"/>
      <c r="X218" s="1544"/>
      <c r="Y218" s="1544"/>
      <c r="Z218" s="1544"/>
      <c r="AA218" s="1544"/>
      <c r="AB218" s="1544"/>
      <c r="AC218" s="1544"/>
      <c r="AD218" s="1544"/>
      <c r="AE218" s="154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sheetPr>
    <tabColor theme="9" tint="-0.249977111117893"/>
  </sheetPr>
  <dimension ref="A1:AE209"/>
  <sheetViews>
    <sheetView showGridLines="0" topLeftCell="D5" zoomScale="90" workbookViewId="0"/>
  </sheetViews>
  <sheetFormatPr defaultColWidth="9.140625" defaultRowHeight="11.25" customHeight="1"/>
  <cols>
    <col min="1" max="1" width="10.7109375" style="4067" hidden="1" customWidth="1"/>
    <col min="2" max="2" width="16.85546875" style="1835" hidden="1" customWidth="1"/>
    <col min="3" max="3" width="5.5703125" style="1834" hidden="1" customWidth="1"/>
    <col min="4" max="4" width="3.7109375" style="4073" customWidth="1"/>
    <col min="5" max="5" width="7.7109375" style="1924" customWidth="1"/>
    <col min="6" max="6" width="54.5703125" style="1924" customWidth="1"/>
    <col min="7" max="7" width="10.42578125" style="1924" customWidth="1"/>
    <col min="8" max="8" width="40.7109375" style="1924" hidden="1" customWidth="1"/>
    <col min="9" max="9" width="40.7109375" style="1924" customWidth="1"/>
    <col min="10" max="10" width="102.85546875" style="1924" customWidth="1"/>
    <col min="11" max="11" width="9.7109375" style="1835" customWidth="1"/>
    <col min="12" max="12" width="5.28515625" style="1834" customWidth="1"/>
    <col min="13" max="13" width="3.7109375" style="1834" customWidth="1"/>
    <col min="14" max="17" width="3.7109375" style="1835" customWidth="1"/>
    <col min="18" max="18" width="10.5703125" style="1834" customWidth="1"/>
    <col min="19" max="19" width="34.7109375" style="1835" customWidth="1"/>
    <col min="20" max="20" width="9.42578125" style="1835" customWidth="1"/>
    <col min="21" max="21" width="9.140625" style="4068"/>
    <col min="22" max="26" width="9.140625" style="1835"/>
    <col min="27" max="31" width="9.140625" style="1923"/>
  </cols>
  <sheetData>
    <row r="1" spans="1:31" s="1835" customFormat="1" ht="11.25" hidden="1" customHeight="1">
      <c r="A1" s="896"/>
      <c r="C1" s="1549"/>
      <c r="D1" s="463"/>
      <c r="H1" s="1061">
        <v>4</v>
      </c>
      <c r="I1" s="1061">
        <v>4</v>
      </c>
      <c r="L1" s="1549"/>
      <c r="M1" s="1549"/>
      <c r="R1" s="1549"/>
    </row>
    <row r="2" spans="1:31" s="1835" customFormat="1" ht="22.5" hidden="1" customHeight="1">
      <c r="A2" s="896"/>
      <c r="C2" s="1549"/>
      <c r="D2" s="464"/>
      <c r="E2" s="1570"/>
      <c r="F2" s="466"/>
      <c r="G2" s="1569" t="s">
        <v>687</v>
      </c>
      <c r="H2" s="467"/>
      <c r="I2" s="467"/>
      <c r="J2" s="468" t="s">
        <v>690</v>
      </c>
      <c r="K2" s="469"/>
      <c r="L2" s="1549"/>
      <c r="M2" s="1549"/>
      <c r="R2" s="1549"/>
      <c r="U2" s="470"/>
      <c r="AA2" s="1545"/>
      <c r="AB2" s="1545"/>
      <c r="AC2" s="1545"/>
      <c r="AD2" s="1545"/>
      <c r="AE2" s="1545"/>
    </row>
    <row r="3" spans="1:31" ht="11.25" hidden="1" customHeight="1"/>
    <row r="4" spans="1:31" s="1923"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32.25" customHeight="1">
      <c r="E6" s="4743" t="s">
        <v>824</v>
      </c>
      <c r="F6" s="4743"/>
      <c r="G6" s="4743"/>
      <c r="H6" s="4743"/>
      <c r="I6" s="4743"/>
      <c r="J6" s="482"/>
    </row>
    <row r="7" spans="1:31" ht="24" customHeight="1">
      <c r="E7" s="4690" t="str">
        <f>IF(org=0,"Не определено",org)</f>
        <v>ОГКП "Ульяновский областной водоканал"</v>
      </c>
      <c r="F7" s="4690"/>
      <c r="G7" s="4690"/>
      <c r="H7" s="4690"/>
      <c r="I7" s="4690"/>
    </row>
    <row r="8" spans="1:31" ht="11.25" customHeight="1">
      <c r="E8" s="1038"/>
      <c r="F8" s="1038"/>
      <c r="G8" s="1038"/>
      <c r="H8" s="1038"/>
      <c r="I8" s="1038"/>
    </row>
    <row r="9" spans="1:31" s="1834" customFormat="1" ht="0.75" customHeight="1">
      <c r="A9" s="1068"/>
      <c r="D9" s="1554"/>
      <c r="H9" s="803"/>
      <c r="I9" s="803" t="s">
        <v>179</v>
      </c>
    </row>
    <row r="10" spans="1:31" ht="11.25" customHeight="1">
      <c r="E10" s="631"/>
      <c r="F10" s="4834" t="s">
        <v>170</v>
      </c>
      <c r="G10" s="4835"/>
      <c r="H10" s="1571" t="str">
        <f>IF(H9="","",INDEX(DIFFERENTIATION_UNMERGE_VD,MATCH(H9,DIFFERENTIATION_ID_DIFF,0)))</f>
        <v/>
      </c>
      <c r="I10" s="1571">
        <f>IF(I9="","",INDEX(DIFFERENTIATION_UNMERGE_VD,MATCH(I9,DIFFERENTIATION_ID_DIFF,0)))</f>
        <v>0</v>
      </c>
      <c r="J10" s="4627"/>
    </row>
    <row r="11" spans="1:31" ht="11.25" customHeight="1">
      <c r="E11" s="631"/>
      <c r="F11" s="4834" t="s">
        <v>699</v>
      </c>
      <c r="G11" s="4835"/>
      <c r="H11" s="1571" t="str">
        <f>IF(H9="","",INDEX(DIFFERENTIATION_UNMERGE_AREA,MATCH(H9,DIFFERENTIATION_ID_DIFF,0)))</f>
        <v/>
      </c>
      <c r="I11" s="1571" t="str">
        <f>IF(I9="","",INDEX(DIFFERENTIATION_UNMERGE_AREA,MATCH(I9,DIFFERENTIATION_ID_DIFF,0)))</f>
        <v/>
      </c>
      <c r="J11" s="4627"/>
    </row>
    <row r="12" spans="1:31" ht="11.25" hidden="1" customHeight="1">
      <c r="E12" s="1574"/>
      <c r="F12" s="4850" t="s">
        <v>700</v>
      </c>
      <c r="G12" s="4851"/>
      <c r="H12" s="1575" t="str">
        <f>IF(H9="","",INDEX(DIFFERENTIATION_UNMERGE_SYSTEM,MATCH(H9,DIFFERENTIATION_ID_DIFF,0)))</f>
        <v/>
      </c>
      <c r="I12" s="1575" t="str">
        <f>IF(I9="","",INDEX(DIFFERENTIATION_UNMERGE_SYSTEM,MATCH(I9,DIFFERENTIATION_ID_DIFF,0)))</f>
        <v>без дифференциации</v>
      </c>
      <c r="J12" s="4627"/>
    </row>
    <row r="13" spans="1:31" ht="11.25" customHeight="1">
      <c r="E13" s="4836" t="s">
        <v>439</v>
      </c>
      <c r="F13" s="4837"/>
      <c r="G13" s="4837"/>
      <c r="H13" s="1568"/>
      <c r="I13" s="1568"/>
      <c r="J13" s="4627"/>
    </row>
    <row r="14" spans="1:31" ht="22.5" customHeight="1">
      <c r="E14" s="1569" t="s">
        <v>86</v>
      </c>
      <c r="F14" s="1572" t="s">
        <v>441</v>
      </c>
      <c r="G14" s="1572" t="s">
        <v>701</v>
      </c>
      <c r="H14" s="1572" t="s">
        <v>442</v>
      </c>
      <c r="I14" s="1572" t="s">
        <v>442</v>
      </c>
      <c r="J14" s="4627"/>
    </row>
    <row r="15" spans="1:31" ht="18.75" customHeight="1">
      <c r="D15" s="1551"/>
      <c r="E15" s="1543" t="s">
        <v>174</v>
      </c>
      <c r="F15" s="627" t="s">
        <v>825</v>
      </c>
      <c r="G15" s="1569" t="s">
        <v>687</v>
      </c>
      <c r="H15" s="483"/>
      <c r="I15" s="483"/>
      <c r="J15" s="208" t="s">
        <v>826</v>
      </c>
      <c r="K15" s="469" t="s">
        <v>754</v>
      </c>
    </row>
    <row r="16" spans="1:31" ht="22.5" customHeight="1">
      <c r="D16" s="1551"/>
      <c r="E16" s="1543" t="s">
        <v>101</v>
      </c>
      <c r="F16" s="1577" t="s">
        <v>827</v>
      </c>
      <c r="G16" s="1569" t="s">
        <v>687</v>
      </c>
      <c r="H16" s="484">
        <f>SUM(H17,H20:H27)</f>
        <v>0</v>
      </c>
      <c r="I16" s="484">
        <f>SUM(I17,I20:I27)</f>
        <v>0</v>
      </c>
      <c r="J16" s="208" t="s">
        <v>828</v>
      </c>
      <c r="K16" s="469" t="s">
        <v>754</v>
      </c>
    </row>
    <row r="17" spans="1:31" ht="33.75" customHeight="1">
      <c r="D17" s="1551"/>
      <c r="E17" s="1576" t="s">
        <v>757</v>
      </c>
      <c r="F17" s="1579" t="s">
        <v>829</v>
      </c>
      <c r="G17" s="1566" t="s">
        <v>687</v>
      </c>
      <c r="H17" s="483"/>
      <c r="I17" s="483"/>
      <c r="J17" s="208" t="s">
        <v>830</v>
      </c>
      <c r="K17" s="469"/>
    </row>
    <row r="18" spans="1:31" ht="18.75" customHeight="1">
      <c r="D18" s="1551"/>
      <c r="E18" s="1576" t="s">
        <v>760</v>
      </c>
      <c r="F18" s="1580" t="s">
        <v>831</v>
      </c>
      <c r="G18" s="1566" t="s">
        <v>687</v>
      </c>
      <c r="H18" s="483"/>
      <c r="I18" s="483"/>
      <c r="J18" s="208"/>
      <c r="K18" s="469"/>
    </row>
    <row r="19" spans="1:31" ht="22.5" customHeight="1">
      <c r="D19" s="1551"/>
      <c r="E19" s="1576" t="s">
        <v>763</v>
      </c>
      <c r="F19" s="1580" t="s">
        <v>832</v>
      </c>
      <c r="G19" s="1566" t="s">
        <v>687</v>
      </c>
      <c r="H19" s="483"/>
      <c r="I19" s="483"/>
      <c r="J19" s="208"/>
      <c r="K19" s="469"/>
    </row>
    <row r="20" spans="1:31" ht="33.75" customHeight="1">
      <c r="D20" s="1551"/>
      <c r="E20" s="1576" t="s">
        <v>446</v>
      </c>
      <c r="F20" s="1579" t="s">
        <v>833</v>
      </c>
      <c r="G20" s="1566" t="s">
        <v>687</v>
      </c>
      <c r="H20" s="483"/>
      <c r="I20" s="483"/>
      <c r="J20" s="208"/>
      <c r="K20" s="469"/>
    </row>
    <row r="21" spans="1:31" ht="33.75" customHeight="1">
      <c r="D21" s="1551"/>
      <c r="E21" s="1576" t="s">
        <v>449</v>
      </c>
      <c r="F21" s="1579" t="s">
        <v>834</v>
      </c>
      <c r="G21" s="1566" t="s">
        <v>687</v>
      </c>
      <c r="H21" s="483"/>
      <c r="I21" s="483"/>
      <c r="J21" s="208"/>
      <c r="K21" s="469"/>
    </row>
    <row r="22" spans="1:31" ht="56.25" customHeight="1">
      <c r="D22" s="1551"/>
      <c r="E22" s="1576" t="s">
        <v>777</v>
      </c>
      <c r="F22" s="1579" t="s">
        <v>835</v>
      </c>
      <c r="G22" s="1566" t="s">
        <v>687</v>
      </c>
      <c r="H22" s="483"/>
      <c r="I22" s="483"/>
      <c r="J22" s="208"/>
      <c r="K22" s="469"/>
    </row>
    <row r="23" spans="1:31" ht="33.75" customHeight="1">
      <c r="D23" s="1551"/>
      <c r="E23" s="1576" t="s">
        <v>784</v>
      </c>
      <c r="F23" s="1579" t="s">
        <v>836</v>
      </c>
      <c r="G23" s="1566" t="s">
        <v>687</v>
      </c>
      <c r="H23" s="483"/>
      <c r="I23" s="483"/>
      <c r="J23" s="208"/>
      <c r="K23" s="469"/>
    </row>
    <row r="24" spans="1:31" ht="33.75" customHeight="1">
      <c r="D24" s="1551"/>
      <c r="E24" s="1576" t="s">
        <v>786</v>
      </c>
      <c r="F24" s="1579" t="s">
        <v>837</v>
      </c>
      <c r="G24" s="1566" t="s">
        <v>687</v>
      </c>
      <c r="H24" s="483"/>
      <c r="I24" s="483"/>
      <c r="J24" s="208"/>
      <c r="K24" s="469"/>
    </row>
    <row r="25" spans="1:31" ht="22.5" customHeight="1">
      <c r="D25" s="1551"/>
      <c r="E25" s="1576" t="s">
        <v>788</v>
      </c>
      <c r="F25" s="1579" t="s">
        <v>838</v>
      </c>
      <c r="G25" s="1566" t="s">
        <v>687</v>
      </c>
      <c r="H25" s="483"/>
      <c r="I25" s="483"/>
      <c r="J25" s="208"/>
      <c r="K25" s="469"/>
    </row>
    <row r="26" spans="1:31" ht="67.5" customHeight="1">
      <c r="D26" s="1551"/>
      <c r="E26" s="1576" t="s">
        <v>790</v>
      </c>
      <c r="F26" s="1579" t="s">
        <v>839</v>
      </c>
      <c r="G26" s="1566" t="s">
        <v>687</v>
      </c>
      <c r="H26" s="483"/>
      <c r="I26" s="483"/>
      <c r="J26" s="208"/>
      <c r="K26" s="469"/>
    </row>
    <row r="27" spans="1:31" s="1835" customFormat="1" ht="22.5" customHeight="1">
      <c r="A27" s="896"/>
      <c r="C27" s="1549"/>
      <c r="D27" s="1551"/>
      <c r="E27" s="1542" t="s">
        <v>794</v>
      </c>
      <c r="F27" s="1541" t="s">
        <v>840</v>
      </c>
      <c r="G27" s="1567" t="s">
        <v>687</v>
      </c>
      <c r="H27" s="505">
        <f>SUM(H28:H29)</f>
        <v>0</v>
      </c>
      <c r="I27" s="505">
        <f>SUM(I28:I29)</f>
        <v>0</v>
      </c>
      <c r="J27" s="208" t="s">
        <v>792</v>
      </c>
      <c r="K27" s="469"/>
      <c r="L27" s="1549"/>
      <c r="M27" s="1549"/>
      <c r="R27" s="1549"/>
      <c r="U27" s="470"/>
      <c r="AA27" s="1545"/>
      <c r="AB27" s="1545"/>
      <c r="AC27" s="1545"/>
      <c r="AD27" s="1545"/>
      <c r="AE27" s="1545"/>
    </row>
    <row r="28" spans="1:31" s="1834" customFormat="1" ht="0.75" customHeight="1">
      <c r="A28" s="1068"/>
      <c r="D28" s="474"/>
      <c r="E28" s="720" t="str">
        <f>E27&amp;".0"</f>
        <v>2.9.0</v>
      </c>
      <c r="F28" s="900"/>
      <c r="G28" s="477"/>
      <c r="H28" s="901"/>
      <c r="I28" s="901"/>
      <c r="J28" s="902"/>
    </row>
    <row r="29" spans="1:31" s="1835" customFormat="1" ht="18.75" customHeight="1">
      <c r="A29" s="896"/>
      <c r="C29" s="1549"/>
      <c r="D29" s="1546"/>
      <c r="E29" s="496"/>
      <c r="F29" s="1578" t="s">
        <v>712</v>
      </c>
      <c r="G29" s="498"/>
      <c r="H29" s="499"/>
      <c r="I29" s="499"/>
      <c r="J29" s="220" t="s">
        <v>793</v>
      </c>
      <c r="K29" s="469"/>
      <c r="L29" s="1549"/>
      <c r="M29" s="1549"/>
      <c r="R29" s="1549"/>
      <c r="U29" s="470"/>
      <c r="AA29" s="1545"/>
      <c r="AB29" s="1545"/>
      <c r="AC29" s="1545"/>
      <c r="AD29" s="1545"/>
      <c r="AE29" s="1545"/>
    </row>
    <row r="30" spans="1:31" s="1835" customFormat="1" ht="22.5" customHeight="1">
      <c r="A30" s="896"/>
      <c r="C30" s="1549"/>
      <c r="D30" s="1551"/>
      <c r="E30" s="1576" t="s">
        <v>88</v>
      </c>
      <c r="F30" s="1573" t="s">
        <v>841</v>
      </c>
      <c r="G30" s="1566" t="s">
        <v>687</v>
      </c>
      <c r="H30" s="483"/>
      <c r="I30" s="483"/>
      <c r="J30" s="208"/>
      <c r="K30" s="469"/>
      <c r="L30" s="1549"/>
      <c r="M30" s="1549"/>
      <c r="R30" s="1549"/>
      <c r="U30" s="470"/>
      <c r="AA30" s="1545"/>
      <c r="AB30" s="1545"/>
      <c r="AC30" s="1545"/>
      <c r="AD30" s="1545"/>
      <c r="AE30" s="1545"/>
    </row>
    <row r="31" spans="1:31" s="1835" customFormat="1" ht="33.75" customHeight="1">
      <c r="A31" s="896"/>
      <c r="C31" s="1549"/>
      <c r="D31" s="501"/>
      <c r="E31" s="1576" t="s">
        <v>89</v>
      </c>
      <c r="F31" s="1573" t="s">
        <v>842</v>
      </c>
      <c r="G31" s="1566" t="s">
        <v>687</v>
      </c>
      <c r="H31" s="483"/>
      <c r="I31" s="483"/>
      <c r="J31" s="208" t="s">
        <v>843</v>
      </c>
      <c r="K31" s="469"/>
      <c r="L31" s="1549"/>
      <c r="M31" s="1549"/>
      <c r="R31" s="1549"/>
      <c r="U31" s="470"/>
      <c r="AA31" s="1545"/>
      <c r="AB31" s="1545"/>
      <c r="AC31" s="1545"/>
      <c r="AD31" s="1545"/>
      <c r="AE31" s="1545"/>
    </row>
    <row r="32" spans="1:31" s="1835" customFormat="1" ht="22.5" customHeight="1">
      <c r="A32" s="896"/>
      <c r="C32" s="1549"/>
      <c r="D32" s="1551"/>
      <c r="E32" s="1576" t="s">
        <v>802</v>
      </c>
      <c r="F32" s="611" t="s">
        <v>806</v>
      </c>
      <c r="G32" s="1566" t="s">
        <v>687</v>
      </c>
      <c r="H32" s="483"/>
      <c r="I32" s="483"/>
      <c r="J32" s="208" t="s">
        <v>844</v>
      </c>
      <c r="K32" s="469"/>
      <c r="L32" s="1549"/>
      <c r="M32" s="1549"/>
      <c r="R32" s="1549"/>
      <c r="U32" s="470"/>
      <c r="AA32" s="1545"/>
      <c r="AB32" s="1545"/>
      <c r="AC32" s="1545"/>
      <c r="AD32" s="1545"/>
      <c r="AE32" s="1545"/>
    </row>
    <row r="33" spans="1:31" s="1835" customFormat="1" ht="22.5" customHeight="1">
      <c r="A33" s="896"/>
      <c r="C33" s="1549"/>
      <c r="D33" s="1551"/>
      <c r="E33" s="1576" t="s">
        <v>845</v>
      </c>
      <c r="F33" s="611" t="s">
        <v>846</v>
      </c>
      <c r="G33" s="1566" t="s">
        <v>687</v>
      </c>
      <c r="H33" s="483"/>
      <c r="I33" s="483"/>
      <c r="J33" s="208" t="s">
        <v>847</v>
      </c>
      <c r="K33" s="469"/>
      <c r="L33" s="1549"/>
      <c r="M33" s="1549"/>
      <c r="R33" s="1549"/>
      <c r="U33" s="470"/>
      <c r="AA33" s="1545"/>
      <c r="AB33" s="1545"/>
      <c r="AC33" s="1545"/>
      <c r="AD33" s="1545"/>
      <c r="AE33" s="1545"/>
    </row>
    <row r="34" spans="1:31" s="1835" customFormat="1" ht="22.5" customHeight="1">
      <c r="A34" s="896"/>
      <c r="C34" s="1549"/>
      <c r="D34" s="1551"/>
      <c r="E34" s="1576" t="s">
        <v>848</v>
      </c>
      <c r="F34" s="611" t="s">
        <v>812</v>
      </c>
      <c r="G34" s="1566" t="s">
        <v>687</v>
      </c>
      <c r="H34" s="483"/>
      <c r="I34" s="483"/>
      <c r="J34" s="208" t="s">
        <v>849</v>
      </c>
      <c r="K34" s="469"/>
      <c r="L34" s="1549"/>
      <c r="M34" s="1549"/>
      <c r="R34" s="1549"/>
      <c r="U34" s="470"/>
      <c r="AA34" s="1545"/>
      <c r="AB34" s="1545"/>
      <c r="AC34" s="1545"/>
      <c r="AD34" s="1545"/>
      <c r="AE34" s="1545"/>
    </row>
    <row r="35" spans="1:31" s="1835" customFormat="1" ht="33.75" customHeight="1">
      <c r="A35" s="896"/>
      <c r="C35" s="1549" t="s">
        <v>723</v>
      </c>
      <c r="D35" s="1551"/>
      <c r="E35" s="1576" t="s">
        <v>128</v>
      </c>
      <c r="F35" s="1573" t="s">
        <v>814</v>
      </c>
      <c r="G35" s="1569" t="s">
        <v>445</v>
      </c>
      <c r="H35" s="336"/>
      <c r="I35" s="336"/>
      <c r="J35" s="208" t="s">
        <v>850</v>
      </c>
      <c r="K35" s="469"/>
      <c r="L35" s="1549"/>
      <c r="M35" s="1549"/>
      <c r="R35" s="1549"/>
      <c r="U35" s="470"/>
      <c r="AA35" s="1545"/>
      <c r="AB35" s="1545"/>
      <c r="AC35" s="1545"/>
      <c r="AD35" s="1545"/>
      <c r="AE35" s="1545"/>
    </row>
    <row r="36" spans="1:31" s="1835" customFormat="1" ht="22.5" customHeight="1">
      <c r="A36" s="896"/>
      <c r="C36" s="1549"/>
      <c r="D36" s="1551"/>
      <c r="E36" s="1576" t="s">
        <v>90</v>
      </c>
      <c r="F36" s="1573" t="s">
        <v>851</v>
      </c>
      <c r="G36" s="1566" t="s">
        <v>818</v>
      </c>
      <c r="H36" s="471"/>
      <c r="I36" s="471"/>
      <c r="J36" s="208" t="s">
        <v>819</v>
      </c>
      <c r="K36" s="469"/>
      <c r="L36" s="1549"/>
      <c r="M36" s="1549"/>
      <c r="R36" s="1549"/>
      <c r="U36" s="470"/>
      <c r="AA36" s="1545"/>
      <c r="AB36" s="1545"/>
      <c r="AC36" s="1545"/>
      <c r="AD36" s="1545"/>
      <c r="AE36" s="1545"/>
    </row>
    <row r="37" spans="1:31" s="1835" customFormat="1" ht="22.5" customHeight="1">
      <c r="A37" s="896"/>
      <c r="C37" s="1549"/>
      <c r="D37" s="1551"/>
      <c r="E37" s="1576" t="s">
        <v>91</v>
      </c>
      <c r="F37" s="1573" t="s">
        <v>852</v>
      </c>
      <c r="G37" s="1566" t="s">
        <v>821</v>
      </c>
      <c r="H37" s="471"/>
      <c r="I37" s="471"/>
      <c r="J37" s="208" t="s">
        <v>822</v>
      </c>
      <c r="K37" s="469"/>
      <c r="L37" s="1549"/>
      <c r="M37" s="1549"/>
      <c r="R37" s="1549"/>
      <c r="U37" s="470"/>
      <c r="AA37" s="1545"/>
      <c r="AB37" s="1545"/>
      <c r="AC37" s="1545"/>
      <c r="AD37" s="1545"/>
      <c r="AE37" s="1545"/>
    </row>
    <row r="38" spans="1:31" ht="11.25" customHeight="1">
      <c r="D38" s="1551"/>
    </row>
    <row r="39" spans="1:31" ht="26.25" customHeight="1">
      <c r="D39" s="1551"/>
      <c r="E39" s="1165" t="s">
        <v>853</v>
      </c>
      <c r="F39" s="4779" t="s">
        <v>854</v>
      </c>
      <c r="G39" s="4779"/>
      <c r="H39" s="4779"/>
      <c r="I39" s="4779"/>
      <c r="J39" s="4779"/>
    </row>
    <row r="40" spans="1:31" s="4069" customFormat="1" ht="37.5" customHeight="1">
      <c r="A40" s="896"/>
      <c r="B40" s="1549"/>
      <c r="C40" s="1549"/>
      <c r="D40" s="277"/>
      <c r="F40" s="4779" t="s">
        <v>855</v>
      </c>
      <c r="G40" s="4779"/>
      <c r="H40" s="4779"/>
      <c r="I40" s="4779"/>
      <c r="J40" s="4779"/>
      <c r="K40" s="1061"/>
      <c r="L40" s="1549"/>
      <c r="M40" s="1549"/>
      <c r="N40" s="1061"/>
      <c r="O40" s="1061"/>
      <c r="P40" s="1061"/>
      <c r="Q40" s="1061"/>
      <c r="R40" s="1549"/>
      <c r="S40" s="1061"/>
      <c r="T40" s="1061"/>
      <c r="U40" s="470"/>
      <c r="V40" s="1061"/>
      <c r="W40" s="1061"/>
      <c r="X40" s="1061"/>
      <c r="Y40" s="1061"/>
      <c r="Z40" s="1061"/>
      <c r="AA40" s="1545"/>
      <c r="AB40" s="492"/>
      <c r="AC40" s="492"/>
      <c r="AD40" s="492"/>
      <c r="AE40" s="492"/>
    </row>
    <row r="41" spans="1:31" s="4069" customFormat="1" ht="11.25" customHeight="1">
      <c r="A41" s="896"/>
      <c r="B41" s="1549"/>
      <c r="C41" s="1549"/>
      <c r="D41" s="277"/>
      <c r="K41" s="1061"/>
      <c r="L41" s="1549"/>
      <c r="M41" s="1549"/>
      <c r="N41" s="1061"/>
      <c r="O41" s="1061"/>
      <c r="P41" s="1061"/>
      <c r="Q41" s="1061"/>
      <c r="R41" s="1549"/>
      <c r="S41" s="1061"/>
      <c r="T41" s="1061"/>
      <c r="U41" s="470"/>
      <c r="V41" s="1061"/>
      <c r="W41" s="1061"/>
      <c r="X41" s="1061"/>
      <c r="Y41" s="1061"/>
      <c r="Z41" s="1061"/>
      <c r="AA41" s="1545"/>
      <c r="AB41" s="492"/>
      <c r="AC41" s="492"/>
      <c r="AD41" s="492"/>
      <c r="AE41" s="492"/>
    </row>
    <row r="42" spans="1:31" s="4069" customFormat="1" ht="11.25" customHeight="1">
      <c r="A42" s="896"/>
      <c r="B42" s="1549"/>
      <c r="C42" s="1549"/>
      <c r="D42" s="277"/>
      <c r="K42" s="1061"/>
      <c r="L42" s="1549"/>
      <c r="M42" s="1549"/>
      <c r="N42" s="1061"/>
      <c r="O42" s="1061"/>
      <c r="P42" s="1061"/>
      <c r="Q42" s="1061"/>
      <c r="R42" s="1549"/>
      <c r="S42" s="1061"/>
      <c r="T42" s="1061"/>
      <c r="U42" s="470"/>
      <c r="V42" s="1061"/>
      <c r="W42" s="1061"/>
      <c r="X42" s="1061"/>
      <c r="Y42" s="1061"/>
      <c r="Z42" s="1061"/>
      <c r="AA42" s="1545"/>
      <c r="AB42" s="492"/>
      <c r="AC42" s="492"/>
      <c r="AD42" s="492"/>
      <c r="AE42" s="492"/>
    </row>
    <row r="43" spans="1:31" s="4069" customFormat="1" ht="11.25" customHeight="1">
      <c r="A43" s="896"/>
      <c r="B43" s="1549"/>
      <c r="C43" s="1549"/>
      <c r="D43" s="277"/>
      <c r="H43" s="492"/>
      <c r="I43" s="492"/>
      <c r="K43" s="1061"/>
      <c r="L43" s="1549"/>
      <c r="M43" s="1549"/>
      <c r="N43" s="1061"/>
      <c r="O43" s="1061"/>
      <c r="P43" s="1061"/>
      <c r="Q43" s="1061"/>
      <c r="R43" s="1549"/>
      <c r="S43" s="1061"/>
      <c r="T43" s="1061"/>
      <c r="U43" s="470"/>
      <c r="V43" s="1061"/>
      <c r="W43" s="1061"/>
      <c r="X43" s="1061"/>
      <c r="Y43" s="1061"/>
      <c r="Z43" s="1061"/>
      <c r="AA43" s="1545"/>
      <c r="AB43" s="492"/>
      <c r="AC43" s="492"/>
      <c r="AD43" s="492"/>
      <c r="AE43" s="492"/>
    </row>
    <row r="44" spans="1:31" s="4069" customFormat="1" ht="11.25" customHeight="1">
      <c r="A44" s="896"/>
      <c r="B44" s="1549"/>
      <c r="C44" s="1549"/>
      <c r="D44" s="277"/>
      <c r="K44" s="1061"/>
      <c r="L44" s="1549"/>
      <c r="M44" s="1549"/>
      <c r="N44" s="1061"/>
      <c r="O44" s="1061"/>
      <c r="P44" s="1061"/>
      <c r="Q44" s="1061"/>
      <c r="R44" s="1549"/>
      <c r="S44" s="1061"/>
      <c r="T44" s="1061"/>
      <c r="U44" s="470"/>
      <c r="V44" s="1061"/>
      <c r="W44" s="1061"/>
      <c r="X44" s="1061"/>
      <c r="Y44" s="1061"/>
      <c r="Z44" s="1061"/>
      <c r="AA44" s="1545"/>
      <c r="AB44" s="492"/>
      <c r="AC44" s="492"/>
      <c r="AD44" s="492"/>
      <c r="AE44" s="492"/>
    </row>
    <row r="45" spans="1:31" s="4069" customFormat="1" ht="11.25" customHeight="1">
      <c r="A45" s="896"/>
      <c r="B45" s="1549"/>
      <c r="C45" s="1549"/>
      <c r="D45" s="277"/>
      <c r="K45" s="1061"/>
      <c r="L45" s="1549"/>
      <c r="M45" s="1549"/>
      <c r="N45" s="1061"/>
      <c r="O45" s="1061"/>
      <c r="P45" s="1061"/>
      <c r="Q45" s="1061"/>
      <c r="R45" s="1549"/>
      <c r="S45" s="1061"/>
      <c r="T45" s="1061"/>
      <c r="U45" s="470"/>
      <c r="V45" s="1061"/>
      <c r="W45" s="1061"/>
      <c r="X45" s="1061"/>
      <c r="Y45" s="1061"/>
      <c r="Z45" s="1061"/>
      <c r="AA45" s="1545"/>
      <c r="AB45" s="492"/>
      <c r="AC45" s="492"/>
      <c r="AD45" s="492"/>
      <c r="AE45" s="492"/>
    </row>
    <row r="46" spans="1:31" s="4069" customFormat="1" ht="11.25" customHeight="1">
      <c r="A46" s="896"/>
      <c r="B46" s="1549"/>
      <c r="C46" s="1549"/>
      <c r="D46" s="277"/>
      <c r="K46" s="1061"/>
      <c r="L46" s="1549"/>
      <c r="M46" s="1549"/>
      <c r="N46" s="1061"/>
      <c r="O46" s="1061"/>
      <c r="P46" s="1061"/>
      <c r="Q46" s="1061"/>
      <c r="R46" s="1549"/>
      <c r="S46" s="1061"/>
      <c r="T46" s="1061"/>
      <c r="U46" s="470"/>
      <c r="V46" s="1061"/>
      <c r="W46" s="1061"/>
      <c r="X46" s="1061"/>
      <c r="Y46" s="1061"/>
      <c r="Z46" s="1061"/>
      <c r="AA46" s="1545"/>
      <c r="AB46" s="492"/>
      <c r="AC46" s="492"/>
      <c r="AD46" s="492"/>
      <c r="AE46" s="492"/>
    </row>
    <row r="47" spans="1:31" s="4069" customFormat="1" ht="11.25" customHeight="1">
      <c r="A47" s="896"/>
      <c r="B47" s="1549"/>
      <c r="C47" s="1549"/>
      <c r="D47" s="277"/>
      <c r="K47" s="1061"/>
      <c r="L47" s="1549"/>
      <c r="M47" s="1549"/>
      <c r="N47" s="1061"/>
      <c r="O47" s="1061"/>
      <c r="P47" s="1061"/>
      <c r="Q47" s="1061"/>
      <c r="R47" s="1549"/>
      <c r="S47" s="1061"/>
      <c r="T47" s="1061"/>
      <c r="U47" s="470"/>
      <c r="V47" s="1061"/>
      <c r="W47" s="1061"/>
      <c r="X47" s="1061"/>
      <c r="Y47" s="1061"/>
      <c r="Z47" s="1061"/>
      <c r="AA47" s="1545"/>
      <c r="AB47" s="492"/>
      <c r="AC47" s="492"/>
      <c r="AD47" s="492"/>
      <c r="AE47" s="492"/>
    </row>
    <row r="48" spans="1:31" s="4069" customFormat="1" ht="11.25" customHeight="1">
      <c r="A48" s="896"/>
      <c r="B48" s="1549"/>
      <c r="C48" s="1549"/>
      <c r="D48" s="277"/>
      <c r="K48" s="1061"/>
      <c r="L48" s="1549"/>
      <c r="M48" s="1549"/>
      <c r="N48" s="1061"/>
      <c r="O48" s="1061"/>
      <c r="P48" s="1061"/>
      <c r="Q48" s="1061"/>
      <c r="R48" s="1549"/>
      <c r="S48" s="1061"/>
      <c r="T48" s="1061"/>
      <c r="U48" s="470"/>
      <c r="V48" s="1061"/>
      <c r="W48" s="1061"/>
      <c r="X48" s="1061"/>
      <c r="Y48" s="1061"/>
      <c r="Z48" s="1061"/>
      <c r="AA48" s="1545"/>
      <c r="AB48" s="492"/>
      <c r="AC48" s="492"/>
      <c r="AD48" s="492"/>
      <c r="AE48" s="492"/>
    </row>
    <row r="49" spans="1:31" s="4069" customFormat="1" ht="11.25" customHeight="1">
      <c r="A49" s="896"/>
      <c r="B49" s="1549"/>
      <c r="C49" s="1549"/>
      <c r="D49" s="277"/>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4069"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4069"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4069" customFormat="1" ht="11.25" customHeight="1">
      <c r="A52" s="896"/>
      <c r="B52" s="1549"/>
      <c r="C52" s="1549"/>
      <c r="D52" s="277"/>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4069"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4069"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4069"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4069"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4069"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4069"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4069"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4069"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4069"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4069"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4069"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4069"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4069"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4069"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4069"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4069"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4069"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4069"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4069"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4069"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4069"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4069"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4069"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4069"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4069"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4069"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4069"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4069"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4069"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4069"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4069"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4069"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4069"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4069"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4069"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4069"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4069"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4069"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4069"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4069"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4069"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4069"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4069"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4069"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4069"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4069"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4069"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4069"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4069"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4069"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4069"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4069"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4069"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4069"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4069"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4069"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4069"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4069"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4069"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4069"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4069"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4069"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4069"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4069"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4069"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4069"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4069"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4069"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4069"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4069"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4069"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4069"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4069"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4069"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4069"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4069"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4069"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4069"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4069"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4069"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4069"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406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406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4069"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406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406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406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406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406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406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406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406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406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406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406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406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406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406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406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406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406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406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406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406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406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406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406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406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406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406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406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406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406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406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406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406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406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406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406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406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406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406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406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406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406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406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406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406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406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406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406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406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406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406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406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406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406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406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406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406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406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406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406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9" spans="1:31" ht="11.25" customHeight="1">
      <c r="A199" s="899"/>
      <c r="B199" s="1544"/>
      <c r="D199" s="1544"/>
      <c r="K199" s="1544"/>
      <c r="N199" s="1544"/>
      <c r="O199" s="1544"/>
      <c r="P199" s="1544"/>
      <c r="Q199" s="1544"/>
      <c r="S199" s="1544"/>
      <c r="T199" s="1544"/>
      <c r="U199" s="1544"/>
      <c r="V199" s="1544"/>
      <c r="W199" s="1544"/>
      <c r="X199" s="1544"/>
      <c r="Y199" s="1544"/>
      <c r="Z199" s="1544"/>
      <c r="AA199" s="1544"/>
      <c r="AB199" s="1544"/>
      <c r="AC199" s="1544"/>
      <c r="AD199" s="1544"/>
      <c r="AE199" s="1544"/>
    </row>
    <row r="200" spans="1:31" ht="11.25" customHeight="1">
      <c r="A200" s="899"/>
      <c r="B200" s="1544"/>
      <c r="D200" s="1544"/>
      <c r="K200" s="1544"/>
      <c r="N200" s="1544"/>
      <c r="O200" s="1544"/>
      <c r="P200" s="1544"/>
      <c r="Q200" s="1544"/>
      <c r="S200" s="1544"/>
      <c r="T200" s="1544"/>
      <c r="U200" s="1544"/>
      <c r="V200" s="1544"/>
      <c r="W200" s="1544"/>
      <c r="X200" s="1544"/>
      <c r="Y200" s="1544"/>
      <c r="Z200" s="1544"/>
      <c r="AA200" s="1544"/>
      <c r="AB200" s="1544"/>
      <c r="AC200" s="1544"/>
      <c r="AD200" s="1544"/>
      <c r="AE200" s="1544"/>
    </row>
    <row r="201" spans="1:31" ht="11.25" customHeight="1">
      <c r="A201" s="899"/>
      <c r="B201" s="1544"/>
      <c r="D201" s="1544"/>
      <c r="K201" s="1544"/>
      <c r="N201" s="1544"/>
      <c r="O201" s="1544"/>
      <c r="P201" s="1544"/>
      <c r="Q201" s="1544"/>
      <c r="S201" s="1544"/>
      <c r="T201" s="1544"/>
      <c r="U201" s="1544"/>
      <c r="V201" s="1544"/>
      <c r="W201" s="1544"/>
      <c r="X201" s="1544"/>
      <c r="Y201" s="1544"/>
      <c r="Z201" s="1544"/>
      <c r="AA201" s="1544"/>
      <c r="AB201" s="1544"/>
      <c r="AC201" s="1544"/>
      <c r="AD201" s="1544"/>
      <c r="AE201" s="1544"/>
    </row>
    <row r="202" spans="1:31" ht="11.25" customHeight="1">
      <c r="A202" s="899"/>
      <c r="B202" s="1544"/>
      <c r="D202" s="1544"/>
      <c r="K202" s="1544"/>
      <c r="N202" s="1544"/>
      <c r="O202" s="1544"/>
      <c r="P202" s="1544"/>
      <c r="Q202" s="1544"/>
      <c r="S202" s="1544"/>
      <c r="T202" s="1544"/>
      <c r="U202" s="1544"/>
      <c r="V202" s="1544"/>
      <c r="W202" s="1544"/>
      <c r="X202" s="1544"/>
      <c r="Y202" s="1544"/>
      <c r="Z202" s="1544"/>
      <c r="AA202" s="1544"/>
      <c r="AB202" s="1544"/>
      <c r="AC202" s="1544"/>
      <c r="AD202" s="1544"/>
      <c r="AE202" s="1544"/>
    </row>
    <row r="203" spans="1:31" ht="11.25" customHeight="1">
      <c r="A203" s="899"/>
      <c r="B203" s="1544"/>
      <c r="D203" s="1544"/>
      <c r="K203" s="1544"/>
      <c r="N203" s="1544"/>
      <c r="O203" s="1544"/>
      <c r="P203" s="1544"/>
      <c r="Q203" s="1544"/>
      <c r="S203" s="1544"/>
      <c r="T203" s="1544"/>
      <c r="U203" s="1544"/>
      <c r="V203" s="1544"/>
      <c r="W203" s="1544"/>
      <c r="X203" s="1544"/>
      <c r="Y203" s="1544"/>
      <c r="Z203" s="1544"/>
      <c r="AA203" s="1544"/>
      <c r="AB203" s="1544"/>
      <c r="AC203" s="1544"/>
      <c r="AD203" s="1544"/>
      <c r="AE203" s="1544"/>
    </row>
    <row r="204" spans="1:31" ht="11.25" customHeight="1">
      <c r="A204" s="899"/>
      <c r="B204" s="1544"/>
      <c r="D204" s="1544"/>
      <c r="K204" s="1544"/>
      <c r="N204" s="1544"/>
      <c r="O204" s="1544"/>
      <c r="P204" s="1544"/>
      <c r="Q204" s="1544"/>
      <c r="S204" s="1544"/>
      <c r="T204" s="1544"/>
      <c r="U204" s="1544"/>
      <c r="V204" s="1544"/>
      <c r="W204" s="1544"/>
      <c r="X204" s="1544"/>
      <c r="Y204" s="1544"/>
      <c r="Z204" s="1544"/>
      <c r="AA204" s="1544"/>
      <c r="AB204" s="1544"/>
      <c r="AC204" s="1544"/>
      <c r="AD204" s="1544"/>
      <c r="AE204" s="1544"/>
    </row>
    <row r="205" spans="1:31" ht="11.25" customHeight="1">
      <c r="A205" s="899"/>
      <c r="B205" s="1544"/>
      <c r="D205" s="1544"/>
      <c r="K205" s="1544"/>
      <c r="N205" s="1544"/>
      <c r="O205" s="1544"/>
      <c r="P205" s="1544"/>
      <c r="Q205" s="1544"/>
      <c r="S205" s="1544"/>
      <c r="T205" s="1544"/>
      <c r="U205" s="1544"/>
      <c r="V205" s="1544"/>
      <c r="W205" s="1544"/>
      <c r="X205" s="1544"/>
      <c r="Y205" s="1544"/>
      <c r="Z205" s="1544"/>
      <c r="AA205" s="1544"/>
      <c r="AB205" s="1544"/>
      <c r="AC205" s="1544"/>
      <c r="AD205" s="1544"/>
      <c r="AE205" s="1544"/>
    </row>
    <row r="206" spans="1:31" ht="11.25" customHeight="1">
      <c r="A206" s="899"/>
      <c r="B206" s="1544"/>
      <c r="D206" s="1544"/>
      <c r="K206" s="1544"/>
      <c r="N206" s="1544"/>
      <c r="O206" s="1544"/>
      <c r="P206" s="1544"/>
      <c r="Q206" s="1544"/>
      <c r="S206" s="1544"/>
      <c r="T206" s="1544"/>
      <c r="U206" s="1544"/>
      <c r="V206" s="1544"/>
      <c r="W206" s="1544"/>
      <c r="X206" s="1544"/>
      <c r="Y206" s="1544"/>
      <c r="Z206" s="1544"/>
      <c r="AA206" s="1544"/>
      <c r="AB206" s="1544"/>
      <c r="AC206" s="1544"/>
      <c r="AD206" s="1544"/>
      <c r="AE206" s="1544"/>
    </row>
    <row r="207" spans="1:31" ht="11.25" customHeight="1">
      <c r="A207" s="899"/>
      <c r="B207" s="1544"/>
      <c r="D207" s="1544"/>
      <c r="K207" s="1544"/>
      <c r="N207" s="1544"/>
      <c r="O207" s="1544"/>
      <c r="P207" s="1544"/>
      <c r="Q207" s="1544"/>
      <c r="S207" s="1544"/>
      <c r="T207" s="1544"/>
      <c r="U207" s="1544"/>
      <c r="V207" s="1544"/>
      <c r="W207" s="1544"/>
      <c r="X207" s="1544"/>
      <c r="Y207" s="1544"/>
      <c r="Z207" s="1544"/>
      <c r="AA207" s="1544"/>
      <c r="AB207" s="1544"/>
      <c r="AC207" s="1544"/>
      <c r="AD207" s="1544"/>
      <c r="AE207" s="1544"/>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sheetPr>
    <tabColor theme="9" tint="-0.249977111117893"/>
  </sheetPr>
  <dimension ref="A1:W101"/>
  <sheetViews>
    <sheetView showGridLines="0" topLeftCell="C2" zoomScale="90" workbookViewId="0"/>
  </sheetViews>
  <sheetFormatPr defaultColWidth="10.5703125" defaultRowHeight="11.25" customHeight="1"/>
  <cols>
    <col min="1" max="1" width="9.140625" style="4078" hidden="1" customWidth="1"/>
    <col min="2" max="2" width="3.5703125" style="1821" hidden="1" customWidth="1"/>
    <col min="3" max="3" width="3.7109375" style="1938" customWidth="1"/>
    <col min="4" max="4" width="7.7109375" style="1938" customWidth="1"/>
    <col min="5" max="5" width="69.85546875" style="1938" customWidth="1"/>
    <col min="6" max="6" width="11.140625" style="1938" customWidth="1"/>
    <col min="7" max="8" width="44" style="1938" hidden="1" customWidth="1"/>
    <col min="9" max="10" width="44" style="1824" customWidth="1"/>
    <col min="11" max="11" width="74" style="1938" customWidth="1"/>
    <col min="12" max="12" width="3.7109375" style="1938" customWidth="1"/>
    <col min="13" max="23" width="10.5703125" style="1938"/>
  </cols>
  <sheetData>
    <row r="1" spans="1:12" s="1825" customFormat="1" ht="11.25" hidden="1" customHeight="1">
      <c r="A1" s="462"/>
      <c r="B1" s="438"/>
      <c r="G1" s="352">
        <v>4</v>
      </c>
      <c r="I1" s="352">
        <v>4</v>
      </c>
      <c r="K1" s="352">
        <v>5</v>
      </c>
    </row>
    <row r="2" spans="1:12" ht="3" customHeight="1"/>
    <row r="3" spans="1:12" ht="75" customHeight="1">
      <c r="D3" s="46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4621"/>
      <c r="F3" s="4622"/>
    </row>
    <row r="4" spans="1:12" s="1824" customFormat="1" ht="20.25" customHeight="1">
      <c r="A4" s="861"/>
      <c r="B4" s="438"/>
      <c r="D4" s="4724" t="str">
        <f>IF(org=0,"Не определено",org)</f>
        <v>ОГКП "Ульяновский областной водоканал"</v>
      </c>
      <c r="E4" s="4725"/>
      <c r="F4" s="4726"/>
    </row>
    <row r="5" spans="1:12" ht="11.25" customHeight="1">
      <c r="C5" s="436"/>
      <c r="D5" s="512"/>
      <c r="E5" s="512"/>
      <c r="F5" s="512"/>
      <c r="G5" s="512"/>
      <c r="H5" s="670"/>
      <c r="I5" s="512"/>
      <c r="J5" s="670"/>
      <c r="K5" s="512"/>
    </row>
    <row r="6" spans="1:12" ht="0.75" customHeight="1">
      <c r="C6" s="436"/>
      <c r="D6" s="436"/>
      <c r="E6" s="449"/>
      <c r="F6" s="536"/>
      <c r="G6" s="930"/>
      <c r="H6" s="930"/>
      <c r="I6" s="930" t="s">
        <v>179</v>
      </c>
      <c r="J6" s="930"/>
    </row>
    <row r="7" spans="1:12" ht="11.25" customHeight="1">
      <c r="D7" s="631"/>
      <c r="E7" s="4834" t="s">
        <v>170</v>
      </c>
      <c r="F7" s="4835"/>
      <c r="G7" s="4853" t="str">
        <f>IF(G6="","",INDEX(DIFFERENTIATION_UNMERGE_VD,MATCH(G6,DIFFERENTIATION_ID_DIFF,0)))</f>
        <v/>
      </c>
      <c r="H7" s="4854"/>
      <c r="I7" s="4853">
        <f>IF(I6="","",INDEX(DIFFERENTIATION_UNMERGE_VD,MATCH(I6,DIFFERENTIATION_ID_DIFF,0)))</f>
        <v>0</v>
      </c>
      <c r="J7" s="4854"/>
      <c r="K7" s="4689"/>
      <c r="L7" s="436"/>
    </row>
    <row r="8" spans="1:12" ht="11.25" customHeight="1">
      <c r="A8" s="624"/>
      <c r="D8" s="631"/>
      <c r="E8" s="4834" t="s">
        <v>699</v>
      </c>
      <c r="F8" s="4835"/>
      <c r="G8" s="4853" t="str">
        <f>IF(G6="","",INDEX(DIFFERENTIATION_UNMERGE_AREA,MATCH(G6,DIFFERENTIATION_ID_DIFF,0)))</f>
        <v/>
      </c>
      <c r="H8" s="4854"/>
      <c r="I8" s="4853" t="str">
        <f>IF(I6="","",INDEX(DIFFERENTIATION_UNMERGE_AREA,MATCH(I6,DIFFERENTIATION_ID_DIFF,0)))</f>
        <v/>
      </c>
      <c r="J8" s="4854"/>
      <c r="K8" s="4708"/>
      <c r="L8" s="436"/>
    </row>
    <row r="9" spans="1:12" ht="11.25" customHeight="1">
      <c r="A9" s="624"/>
      <c r="D9" s="631"/>
      <c r="E9" s="4834" t="s">
        <v>700</v>
      </c>
      <c r="F9" s="4835"/>
      <c r="G9" s="4853" t="str">
        <f>IF(G6="","",INDEX(DIFFERENTIATION_UNMERGE_SYSTEM,MATCH(G6,DIFFERENTIATION_ID_DIFF,0)))</f>
        <v/>
      </c>
      <c r="H9" s="4854"/>
      <c r="I9" s="4853" t="str">
        <f>IF(I6="","",INDEX(DIFFERENTIATION_UNMERGE_SYSTEM,MATCH(I6,DIFFERENTIATION_ID_DIFF,0)))</f>
        <v>без дифференциации</v>
      </c>
      <c r="J9" s="4854"/>
      <c r="K9" s="4708"/>
      <c r="L9" s="436"/>
    </row>
    <row r="10" spans="1:12" s="1824" customFormat="1" ht="11.25" customHeight="1">
      <c r="A10" s="929"/>
      <c r="B10" s="438"/>
      <c r="D10" s="4598" t="s">
        <v>439</v>
      </c>
      <c r="E10" s="4604"/>
      <c r="F10" s="4604"/>
      <c r="G10" s="4604"/>
      <c r="H10" s="4604"/>
      <c r="I10" s="4604"/>
      <c r="J10" s="4597"/>
      <c r="K10" s="4708"/>
      <c r="L10" s="436"/>
    </row>
    <row r="11" spans="1:12" s="1826" customFormat="1" ht="22.5" customHeight="1">
      <c r="A11" s="4779"/>
      <c r="B11" s="4779"/>
      <c r="C11" s="579"/>
      <c r="D11" s="623" t="s">
        <v>86</v>
      </c>
      <c r="E11" s="625" t="s">
        <v>856</v>
      </c>
      <c r="F11" s="625" t="s">
        <v>701</v>
      </c>
      <c r="G11" s="393" t="s">
        <v>442</v>
      </c>
      <c r="H11" s="393" t="s">
        <v>531</v>
      </c>
      <c r="I11" s="725" t="s">
        <v>442</v>
      </c>
      <c r="J11" s="726" t="s">
        <v>531</v>
      </c>
      <c r="K11" s="4738"/>
      <c r="L11" s="580"/>
    </row>
    <row r="12" spans="1:12" s="1821" customFormat="1" ht="10.5" customHeight="1">
      <c r="A12" s="862"/>
      <c r="D12" s="933" t="s">
        <v>174</v>
      </c>
      <c r="E12" s="933" t="s">
        <v>101</v>
      </c>
      <c r="F12" s="933" t="s">
        <v>88</v>
      </c>
      <c r="G12" s="934" t="str">
        <f>G1&amp;".1"</f>
        <v>4.1</v>
      </c>
      <c r="H12" s="934" t="str">
        <f>G1&amp;".2"</f>
        <v>4.2</v>
      </c>
      <c r="I12" s="934" t="str">
        <f>I1&amp;".1"</f>
        <v>4.1</v>
      </c>
      <c r="J12" s="934" t="str">
        <f>I1&amp;".2"</f>
        <v>4.2</v>
      </c>
      <c r="K12" s="934"/>
    </row>
    <row r="13" spans="1:12" ht="22.5" hidden="1" customHeight="1">
      <c r="A13" s="4852" t="s">
        <v>857</v>
      </c>
      <c r="D13" s="863" t="s">
        <v>174</v>
      </c>
      <c r="E13" s="199" t="s">
        <v>858</v>
      </c>
      <c r="F13" s="582" t="s">
        <v>859</v>
      </c>
      <c r="G13" s="483"/>
      <c r="H13" s="583"/>
      <c r="I13" s="483"/>
      <c r="J13" s="583"/>
      <c r="K13" s="208" t="s">
        <v>860</v>
      </c>
      <c r="L13" s="640"/>
    </row>
    <row r="14" spans="1:12" ht="22.5" hidden="1" customHeight="1">
      <c r="A14" s="4852"/>
      <c r="D14" s="465" t="s">
        <v>101</v>
      </c>
      <c r="E14" s="199" t="s">
        <v>861</v>
      </c>
      <c r="F14" s="582" t="s">
        <v>862</v>
      </c>
      <c r="G14" s="483"/>
      <c r="H14" s="584"/>
      <c r="I14" s="483"/>
      <c r="J14" s="584"/>
      <c r="K14" s="208" t="s">
        <v>863</v>
      </c>
      <c r="L14" s="640"/>
    </row>
    <row r="15" spans="1:12" s="1824" customFormat="1" ht="78.75" hidden="1" customHeight="1">
      <c r="A15" s="4852"/>
      <c r="B15" s="438"/>
      <c r="D15" s="863" t="s">
        <v>88</v>
      </c>
      <c r="E15" s="627" t="s">
        <v>864</v>
      </c>
      <c r="F15" s="860" t="s">
        <v>445</v>
      </c>
      <c r="G15" s="860" t="s">
        <v>445</v>
      </c>
      <c r="H15" s="37"/>
      <c r="I15" s="860" t="s">
        <v>445</v>
      </c>
      <c r="J15" s="37"/>
      <c r="K15" s="208" t="s">
        <v>865</v>
      </c>
      <c r="L15" s="640"/>
    </row>
    <row r="16" spans="1:12" s="1824" customFormat="1" ht="22.5" hidden="1" customHeight="1">
      <c r="A16" s="4852"/>
      <c r="B16" s="438"/>
      <c r="D16" s="863" t="s">
        <v>465</v>
      </c>
      <c r="E16" s="864" t="s">
        <v>866</v>
      </c>
      <c r="F16" s="860" t="s">
        <v>867</v>
      </c>
      <c r="G16" s="735"/>
      <c r="H16" s="37"/>
      <c r="I16" s="735"/>
      <c r="J16" s="37"/>
      <c r="K16" s="208"/>
      <c r="L16" s="640"/>
    </row>
    <row r="17" spans="1:23" s="1824" customFormat="1" ht="22.5" hidden="1" customHeight="1">
      <c r="A17" s="4852"/>
      <c r="B17" s="438"/>
      <c r="D17" s="863" t="s">
        <v>473</v>
      </c>
      <c r="E17" s="864" t="s">
        <v>868</v>
      </c>
      <c r="F17" s="860" t="s">
        <v>869</v>
      </c>
      <c r="G17" s="735"/>
      <c r="H17" s="37"/>
      <c r="I17" s="735"/>
      <c r="J17" s="37"/>
      <c r="K17" s="208"/>
      <c r="L17" s="640"/>
    </row>
    <row r="18" spans="1:23" s="1824" customFormat="1" ht="33.75" hidden="1" customHeight="1">
      <c r="A18" s="4852"/>
      <c r="B18" s="438"/>
      <c r="D18" s="863" t="s">
        <v>475</v>
      </c>
      <c r="E18" s="864" t="s">
        <v>870</v>
      </c>
      <c r="F18" s="860" t="s">
        <v>706</v>
      </c>
      <c r="G18" s="602"/>
      <c r="H18" s="37"/>
      <c r="I18" s="602"/>
      <c r="J18" s="37"/>
      <c r="K18" s="208"/>
      <c r="L18" s="640"/>
    </row>
    <row r="19" spans="1:23" ht="101.25" hidden="1" customHeight="1">
      <c r="A19" s="4852"/>
      <c r="D19" s="863" t="s">
        <v>89</v>
      </c>
      <c r="E19" s="199" t="s">
        <v>871</v>
      </c>
      <c r="F19" s="582" t="s">
        <v>681</v>
      </c>
      <c r="G19" s="585"/>
      <c r="H19" s="584"/>
      <c r="I19" s="865"/>
      <c r="J19" s="584"/>
      <c r="K19" s="208" t="s">
        <v>872</v>
      </c>
      <c r="L19" s="640"/>
    </row>
    <row r="20" spans="1:23" s="1824" customFormat="1" ht="18.75" hidden="1" customHeight="1">
      <c r="A20" s="4852"/>
      <c r="C20" s="866"/>
      <c r="D20" s="863" t="s">
        <v>802</v>
      </c>
      <c r="E20" s="864" t="s">
        <v>873</v>
      </c>
      <c r="F20" s="860" t="s">
        <v>445</v>
      </c>
      <c r="G20" s="860" t="s">
        <v>445</v>
      </c>
      <c r="H20" s="859" t="s">
        <v>445</v>
      </c>
      <c r="I20" s="860" t="s">
        <v>445</v>
      </c>
      <c r="J20" s="859" t="s">
        <v>445</v>
      </c>
      <c r="K20" s="858"/>
      <c r="L20" s="640"/>
      <c r="W20" s="597"/>
    </row>
    <row r="21" spans="1:23" s="1824" customFormat="1" ht="33.75" hidden="1" customHeight="1">
      <c r="A21" s="4852"/>
      <c r="C21" s="866"/>
      <c r="D21" s="863" t="s">
        <v>805</v>
      </c>
      <c r="E21" s="502" t="s">
        <v>874</v>
      </c>
      <c r="F21" s="860" t="s">
        <v>875</v>
      </c>
      <c r="G21" s="853"/>
      <c r="H21" s="37"/>
      <c r="I21" s="853"/>
      <c r="J21" s="37"/>
      <c r="K21" s="858"/>
      <c r="L21" s="640"/>
      <c r="W21" s="597"/>
    </row>
    <row r="22" spans="1:23" s="1824" customFormat="1" ht="33.75" hidden="1" customHeight="1">
      <c r="A22" s="4852"/>
      <c r="C22" s="866"/>
      <c r="D22" s="863" t="s">
        <v>808</v>
      </c>
      <c r="E22" s="502" t="s">
        <v>876</v>
      </c>
      <c r="F22" s="860" t="s">
        <v>877</v>
      </c>
      <c r="G22" s="853"/>
      <c r="H22" s="37"/>
      <c r="I22" s="853"/>
      <c r="J22" s="37"/>
      <c r="K22" s="858"/>
      <c r="L22" s="640"/>
      <c r="W22" s="597"/>
    </row>
    <row r="23" spans="1:23" s="1824" customFormat="1" ht="22.5" hidden="1" customHeight="1">
      <c r="A23" s="4852"/>
      <c r="C23" s="866"/>
      <c r="D23" s="863" t="s">
        <v>845</v>
      </c>
      <c r="E23" s="864" t="s">
        <v>878</v>
      </c>
      <c r="F23" s="860" t="s">
        <v>445</v>
      </c>
      <c r="G23" s="860" t="s">
        <v>445</v>
      </c>
      <c r="H23" s="859" t="s">
        <v>445</v>
      </c>
      <c r="I23" s="860" t="s">
        <v>445</v>
      </c>
      <c r="J23" s="859" t="s">
        <v>445</v>
      </c>
      <c r="K23" s="858"/>
      <c r="L23" s="640"/>
      <c r="W23" s="597"/>
    </row>
    <row r="24" spans="1:23" s="1824" customFormat="1" ht="22.5" hidden="1" customHeight="1">
      <c r="A24" s="4852"/>
      <c r="C24" s="866"/>
      <c r="D24" s="863" t="s">
        <v>879</v>
      </c>
      <c r="E24" s="502" t="s">
        <v>880</v>
      </c>
      <c r="F24" s="860" t="s">
        <v>881</v>
      </c>
      <c r="G24" s="853"/>
      <c r="H24" s="607"/>
      <c r="I24" s="853"/>
      <c r="J24" s="607"/>
      <c r="K24" s="858"/>
      <c r="L24" s="640"/>
      <c r="W24" s="597"/>
    </row>
    <row r="25" spans="1:23" s="1824" customFormat="1" ht="22.5" hidden="1" customHeight="1">
      <c r="A25" s="4852"/>
      <c r="C25" s="866"/>
      <c r="D25" s="863" t="s">
        <v>882</v>
      </c>
      <c r="E25" s="502" t="s">
        <v>883</v>
      </c>
      <c r="F25" s="860" t="s">
        <v>445</v>
      </c>
      <c r="G25" s="860" t="s">
        <v>445</v>
      </c>
      <c r="H25" s="859" t="s">
        <v>445</v>
      </c>
      <c r="I25" s="860" t="s">
        <v>445</v>
      </c>
      <c r="J25" s="859" t="s">
        <v>445</v>
      </c>
      <c r="K25" s="858"/>
      <c r="L25" s="640"/>
      <c r="W25" s="597"/>
    </row>
    <row r="26" spans="1:23" s="1824" customFormat="1" ht="18.75" hidden="1" customHeight="1">
      <c r="A26" s="4852"/>
      <c r="C26" s="866"/>
      <c r="D26" s="863" t="s">
        <v>884</v>
      </c>
      <c r="E26" s="479" t="s">
        <v>885</v>
      </c>
      <c r="F26" s="860" t="s">
        <v>886</v>
      </c>
      <c r="G26" s="602"/>
      <c r="H26" s="607"/>
      <c r="I26" s="602"/>
      <c r="J26" s="607"/>
      <c r="K26" s="858"/>
      <c r="L26" s="640"/>
      <c r="W26" s="597"/>
    </row>
    <row r="27" spans="1:23" s="1824" customFormat="1" ht="18.75" hidden="1" customHeight="1">
      <c r="A27" s="4852"/>
      <c r="C27" s="866"/>
      <c r="D27" s="863" t="s">
        <v>887</v>
      </c>
      <c r="E27" s="479" t="s">
        <v>888</v>
      </c>
      <c r="F27" s="860" t="s">
        <v>889</v>
      </c>
      <c r="G27" s="602"/>
      <c r="H27" s="607"/>
      <c r="I27" s="602"/>
      <c r="J27" s="607"/>
      <c r="K27" s="858"/>
      <c r="L27" s="640"/>
      <c r="W27" s="597"/>
    </row>
    <row r="28" spans="1:23" s="1824" customFormat="1" ht="18.75" hidden="1" customHeight="1">
      <c r="A28" s="4852"/>
      <c r="C28" s="866"/>
      <c r="D28" s="863" t="s">
        <v>890</v>
      </c>
      <c r="E28" s="502" t="s">
        <v>891</v>
      </c>
      <c r="F28" s="860" t="s">
        <v>445</v>
      </c>
      <c r="G28" s="860" t="s">
        <v>445</v>
      </c>
      <c r="H28" s="859" t="s">
        <v>445</v>
      </c>
      <c r="I28" s="860" t="s">
        <v>445</v>
      </c>
      <c r="J28" s="859" t="s">
        <v>445</v>
      </c>
      <c r="K28" s="858"/>
      <c r="L28" s="640"/>
      <c r="W28" s="597"/>
    </row>
    <row r="29" spans="1:23" s="1824" customFormat="1" ht="18.75" hidden="1" customHeight="1">
      <c r="A29" s="4852"/>
      <c r="C29" s="866"/>
      <c r="D29" s="863" t="s">
        <v>892</v>
      </c>
      <c r="E29" s="479" t="s">
        <v>885</v>
      </c>
      <c r="F29" s="860" t="s">
        <v>893</v>
      </c>
      <c r="G29" s="602"/>
      <c r="H29" s="607"/>
      <c r="I29" s="602"/>
      <c r="J29" s="607"/>
      <c r="K29" s="858"/>
      <c r="L29" s="640"/>
      <c r="W29" s="597"/>
    </row>
    <row r="30" spans="1:23" s="1824" customFormat="1" ht="18.75" hidden="1" customHeight="1">
      <c r="A30" s="4852"/>
      <c r="C30" s="866"/>
      <c r="D30" s="863" t="s">
        <v>894</v>
      </c>
      <c r="E30" s="479" t="s">
        <v>895</v>
      </c>
      <c r="F30" s="860" t="s">
        <v>896</v>
      </c>
      <c r="G30" s="602"/>
      <c r="H30" s="607"/>
      <c r="I30" s="602"/>
      <c r="J30" s="607"/>
      <c r="K30" s="858"/>
      <c r="L30" s="640"/>
      <c r="W30" s="597"/>
    </row>
    <row r="31" spans="1:23" ht="126.75" hidden="1" customHeight="1">
      <c r="A31" s="4852"/>
      <c r="D31" s="863" t="s">
        <v>128</v>
      </c>
      <c r="E31" s="199" t="s">
        <v>897</v>
      </c>
      <c r="F31" s="582" t="s">
        <v>693</v>
      </c>
      <c r="G31" s="483"/>
      <c r="H31" s="584"/>
      <c r="I31" s="483"/>
      <c r="J31" s="584"/>
      <c r="K31" s="208" t="s">
        <v>898</v>
      </c>
      <c r="L31" s="640"/>
    </row>
    <row r="32" spans="1:23" ht="56.25" hidden="1" customHeight="1">
      <c r="A32" s="4852"/>
      <c r="D32" s="863" t="s">
        <v>90</v>
      </c>
      <c r="E32" s="199" t="s">
        <v>899</v>
      </c>
      <c r="F32" s="465" t="s">
        <v>869</v>
      </c>
      <c r="G32" s="483"/>
      <c r="H32" s="584"/>
      <c r="I32" s="483"/>
      <c r="J32" s="584"/>
      <c r="K32" s="208" t="s">
        <v>900</v>
      </c>
      <c r="L32" s="640"/>
    </row>
    <row r="33" spans="1:11" ht="11.25" hidden="1" customHeight="1">
      <c r="A33" s="4852"/>
      <c r="E33" s="586"/>
      <c r="F33" s="102"/>
      <c r="G33" s="102"/>
      <c r="H33" s="102"/>
      <c r="I33" s="102"/>
      <c r="J33" s="102"/>
      <c r="K33" s="102"/>
    </row>
    <row r="34" spans="1:11" ht="12.75" hidden="1" customHeight="1">
      <c r="A34" s="4852"/>
      <c r="D34" s="2">
        <v>1</v>
      </c>
      <c r="E34" s="262" t="s">
        <v>901</v>
      </c>
    </row>
    <row r="35" spans="1:11" ht="11.25" hidden="1" customHeight="1">
      <c r="A35" s="4852"/>
      <c r="D35" s="298"/>
      <c r="E35" s="262" t="s">
        <v>902</v>
      </c>
    </row>
    <row r="36" spans="1:11" s="1826" customFormat="1" ht="11.25" customHeight="1">
      <c r="A36" s="941"/>
      <c r="B36" s="445"/>
      <c r="D36" s="942"/>
      <c r="E36" s="943"/>
    </row>
    <row r="37" spans="1:11" s="1824" customFormat="1" ht="22.5" hidden="1" customHeight="1">
      <c r="A37" s="4852" t="s">
        <v>903</v>
      </c>
      <c r="B37" s="438"/>
      <c r="D37" s="863">
        <v>1</v>
      </c>
      <c r="E37" s="627" t="s">
        <v>904</v>
      </c>
      <c r="F37" s="582" t="s">
        <v>859</v>
      </c>
      <c r="G37" s="483"/>
      <c r="H37" s="446"/>
      <c r="I37" s="483"/>
      <c r="J37" s="446"/>
      <c r="K37" s="208" t="s">
        <v>905</v>
      </c>
    </row>
    <row r="38" spans="1:11" s="1824" customFormat="1" ht="22.5" hidden="1" customHeight="1">
      <c r="A38" s="4852"/>
      <c r="B38" s="438"/>
      <c r="D38" s="591" t="s">
        <v>101</v>
      </c>
      <c r="E38" s="940" t="s">
        <v>906</v>
      </c>
      <c r="F38" s="944" t="s">
        <v>681</v>
      </c>
      <c r="G38" s="944" t="s">
        <v>681</v>
      </c>
      <c r="H38" s="938"/>
      <c r="I38" s="944" t="s">
        <v>681</v>
      </c>
      <c r="J38" s="938"/>
      <c r="K38" s="939"/>
    </row>
    <row r="39" spans="1:11" s="1824" customFormat="1" ht="33.75" hidden="1" customHeight="1">
      <c r="A39" s="4852"/>
      <c r="B39" s="438"/>
      <c r="D39" s="587" t="s">
        <v>760</v>
      </c>
      <c r="E39" s="643" t="s">
        <v>907</v>
      </c>
      <c r="F39" s="582" t="s">
        <v>908</v>
      </c>
      <c r="G39" s="590"/>
      <c r="H39" s="931"/>
      <c r="I39" s="590"/>
      <c r="J39" s="931"/>
      <c r="K39" s="208" t="s">
        <v>909</v>
      </c>
    </row>
    <row r="40" spans="1:11" s="1824" customFormat="1" ht="33.75" hidden="1" customHeight="1">
      <c r="A40" s="4852"/>
      <c r="B40" s="438"/>
      <c r="D40" s="587" t="s">
        <v>763</v>
      </c>
      <c r="E40" s="643" t="s">
        <v>910</v>
      </c>
      <c r="F40" s="935" t="s">
        <v>911</v>
      </c>
      <c r="G40" s="660"/>
      <c r="H40" s="931"/>
      <c r="I40" s="660"/>
      <c r="J40" s="931"/>
      <c r="K40" s="208" t="s">
        <v>912</v>
      </c>
    </row>
    <row r="41" spans="1:11" s="1824" customFormat="1" ht="22.5" hidden="1" customHeight="1">
      <c r="A41" s="4852"/>
      <c r="B41" s="438"/>
      <c r="D41" s="587" t="s">
        <v>88</v>
      </c>
      <c r="E41" s="642" t="s">
        <v>913</v>
      </c>
      <c r="F41" s="582" t="s">
        <v>681</v>
      </c>
      <c r="G41" s="582" t="s">
        <v>681</v>
      </c>
      <c r="H41" s="932"/>
      <c r="I41" s="582" t="s">
        <v>681</v>
      </c>
      <c r="J41" s="932"/>
      <c r="K41" s="221"/>
    </row>
    <row r="42" spans="1:11" s="1824" customFormat="1" ht="45" hidden="1" customHeight="1">
      <c r="A42" s="4852"/>
      <c r="B42" s="438"/>
      <c r="D42" s="587" t="s">
        <v>465</v>
      </c>
      <c r="E42" s="643" t="s">
        <v>914</v>
      </c>
      <c r="F42" s="582" t="s">
        <v>693</v>
      </c>
      <c r="G42" s="483"/>
      <c r="H42" s="932"/>
      <c r="I42" s="483"/>
      <c r="J42" s="932"/>
      <c r="K42" s="221" t="s">
        <v>915</v>
      </c>
    </row>
    <row r="43" spans="1:11" s="1824" customFormat="1" ht="45" hidden="1" customHeight="1">
      <c r="A43" s="4852"/>
      <c r="B43" s="438"/>
      <c r="D43" s="587" t="s">
        <v>473</v>
      </c>
      <c r="E43" s="589" t="s">
        <v>916</v>
      </c>
      <c r="F43" s="936" t="s">
        <v>693</v>
      </c>
      <c r="G43" s="661"/>
      <c r="H43" s="931"/>
      <c r="I43" s="661"/>
      <c r="J43" s="931"/>
      <c r="K43" s="221" t="s">
        <v>917</v>
      </c>
    </row>
    <row r="44" spans="1:11" s="1824" customFormat="1" ht="11.25" hidden="1" customHeight="1">
      <c r="A44" s="4852"/>
      <c r="B44" s="438"/>
      <c r="D44" s="587" t="s">
        <v>89</v>
      </c>
      <c r="E44" s="588" t="s">
        <v>918</v>
      </c>
      <c r="F44" s="582" t="s">
        <v>908</v>
      </c>
      <c r="G44" s="590"/>
      <c r="H44" s="931"/>
      <c r="I44" s="590"/>
      <c r="J44" s="931"/>
      <c r="K44" s="208"/>
    </row>
    <row r="45" spans="1:11" s="1824" customFormat="1" ht="11.25" hidden="1" customHeight="1">
      <c r="A45" s="4852"/>
      <c r="B45" s="438"/>
      <c r="D45" s="587" t="s">
        <v>802</v>
      </c>
      <c r="E45" s="589" t="s">
        <v>919</v>
      </c>
      <c r="F45" s="582" t="s">
        <v>908</v>
      </c>
      <c r="G45" s="590"/>
      <c r="H45" s="931"/>
      <c r="I45" s="590"/>
      <c r="J45" s="931"/>
      <c r="K45" s="208"/>
    </row>
    <row r="46" spans="1:11" s="1824" customFormat="1" ht="11.25" hidden="1" customHeight="1">
      <c r="A46" s="4852"/>
      <c r="B46" s="438"/>
      <c r="D46" s="587" t="s">
        <v>845</v>
      </c>
      <c r="E46" s="589" t="s">
        <v>920</v>
      </c>
      <c r="F46" s="582" t="s">
        <v>908</v>
      </c>
      <c r="G46" s="590"/>
      <c r="H46" s="931"/>
      <c r="I46" s="590"/>
      <c r="J46" s="931"/>
      <c r="K46" s="208"/>
    </row>
    <row r="47" spans="1:11" s="1824" customFormat="1" ht="11.25" hidden="1" customHeight="1">
      <c r="A47" s="4852"/>
      <c r="B47" s="438"/>
      <c r="D47" s="587" t="s">
        <v>848</v>
      </c>
      <c r="E47" s="589" t="s">
        <v>921</v>
      </c>
      <c r="F47" s="582" t="s">
        <v>908</v>
      </c>
      <c r="G47" s="590"/>
      <c r="H47" s="931"/>
      <c r="I47" s="590"/>
      <c r="J47" s="931"/>
      <c r="K47" s="208"/>
    </row>
    <row r="48" spans="1:11" s="1824" customFormat="1" ht="11.25" hidden="1" customHeight="1">
      <c r="A48" s="4852"/>
      <c r="B48" s="438"/>
      <c r="D48" s="587" t="s">
        <v>922</v>
      </c>
      <c r="E48" s="593" t="s">
        <v>923</v>
      </c>
      <c r="F48" s="582" t="s">
        <v>908</v>
      </c>
      <c r="G48" s="590"/>
      <c r="H48" s="931"/>
      <c r="I48" s="590"/>
      <c r="J48" s="931"/>
      <c r="K48" s="208"/>
    </row>
    <row r="49" spans="1:11" s="1824" customFormat="1" ht="11.25" hidden="1" customHeight="1">
      <c r="A49" s="4852"/>
      <c r="B49" s="438"/>
      <c r="D49" s="587" t="s">
        <v>924</v>
      </c>
      <c r="E49" s="593" t="s">
        <v>925</v>
      </c>
      <c r="F49" s="582" t="s">
        <v>908</v>
      </c>
      <c r="G49" s="590"/>
      <c r="H49" s="931"/>
      <c r="I49" s="590"/>
      <c r="J49" s="931"/>
      <c r="K49" s="208"/>
    </row>
    <row r="50" spans="1:11" s="1824" customFormat="1" ht="11.25" hidden="1" customHeight="1">
      <c r="A50" s="4852"/>
      <c r="B50" s="438"/>
      <c r="D50" s="587" t="s">
        <v>926</v>
      </c>
      <c r="E50" s="589" t="s">
        <v>927</v>
      </c>
      <c r="F50" s="582" t="s">
        <v>908</v>
      </c>
      <c r="G50" s="590"/>
      <c r="H50" s="931"/>
      <c r="I50" s="590"/>
      <c r="J50" s="931"/>
      <c r="K50" s="208"/>
    </row>
    <row r="51" spans="1:11" s="1824" customFormat="1" ht="11.25" hidden="1" customHeight="1">
      <c r="A51" s="4852"/>
      <c r="B51" s="438"/>
      <c r="D51" s="587" t="s">
        <v>928</v>
      </c>
      <c r="E51" s="589" t="s">
        <v>929</v>
      </c>
      <c r="F51" s="582" t="s">
        <v>908</v>
      </c>
      <c r="G51" s="590"/>
      <c r="H51" s="931"/>
      <c r="I51" s="590"/>
      <c r="J51" s="931"/>
      <c r="K51" s="208"/>
    </row>
    <row r="52" spans="1:11" s="1824" customFormat="1" ht="45" hidden="1" customHeight="1">
      <c r="A52" s="4852"/>
      <c r="B52" s="438"/>
      <c r="D52" s="587" t="s">
        <v>128</v>
      </c>
      <c r="E52" s="588" t="s">
        <v>930</v>
      </c>
      <c r="F52" s="582" t="s">
        <v>908</v>
      </c>
      <c r="G52" s="590"/>
      <c r="H52" s="931"/>
      <c r="I52" s="590"/>
      <c r="J52" s="931"/>
      <c r="K52" s="208"/>
    </row>
    <row r="53" spans="1:11" s="1824" customFormat="1" ht="11.25" hidden="1" customHeight="1">
      <c r="A53" s="4852"/>
      <c r="B53" s="438"/>
      <c r="D53" s="587" t="s">
        <v>454</v>
      </c>
      <c r="E53" s="589" t="s">
        <v>919</v>
      </c>
      <c r="F53" s="582" t="s">
        <v>908</v>
      </c>
      <c r="G53" s="590"/>
      <c r="H53" s="931"/>
      <c r="I53" s="590"/>
      <c r="J53" s="931"/>
      <c r="K53" s="208"/>
    </row>
    <row r="54" spans="1:11" s="1824" customFormat="1" ht="11.25" hidden="1" customHeight="1">
      <c r="A54" s="4852"/>
      <c r="B54" s="438"/>
      <c r="D54" s="587" t="s">
        <v>456</v>
      </c>
      <c r="E54" s="589" t="s">
        <v>920</v>
      </c>
      <c r="F54" s="582" t="s">
        <v>908</v>
      </c>
      <c r="G54" s="590"/>
      <c r="H54" s="931"/>
      <c r="I54" s="590"/>
      <c r="J54" s="931"/>
      <c r="K54" s="208"/>
    </row>
    <row r="55" spans="1:11" s="1824" customFormat="1" ht="11.25" hidden="1" customHeight="1">
      <c r="A55" s="4852"/>
      <c r="B55" s="438"/>
      <c r="D55" s="587" t="s">
        <v>459</v>
      </c>
      <c r="E55" s="589" t="s">
        <v>921</v>
      </c>
      <c r="F55" s="582" t="s">
        <v>908</v>
      </c>
      <c r="G55" s="590"/>
      <c r="H55" s="931"/>
      <c r="I55" s="590"/>
      <c r="J55" s="931"/>
      <c r="K55" s="208"/>
    </row>
    <row r="56" spans="1:11" s="1824" customFormat="1" ht="11.25" hidden="1" customHeight="1">
      <c r="A56" s="4852"/>
      <c r="B56" s="438"/>
      <c r="D56" s="587" t="s">
        <v>931</v>
      </c>
      <c r="E56" s="593" t="s">
        <v>923</v>
      </c>
      <c r="F56" s="582" t="s">
        <v>908</v>
      </c>
      <c r="G56" s="590"/>
      <c r="H56" s="931"/>
      <c r="I56" s="590"/>
      <c r="J56" s="931"/>
      <c r="K56" s="208"/>
    </row>
    <row r="57" spans="1:11" s="1824" customFormat="1" ht="11.25" hidden="1" customHeight="1">
      <c r="A57" s="4852"/>
      <c r="B57" s="438"/>
      <c r="D57" s="587" t="s">
        <v>932</v>
      </c>
      <c r="E57" s="593" t="s">
        <v>925</v>
      </c>
      <c r="F57" s="582" t="s">
        <v>908</v>
      </c>
      <c r="G57" s="590"/>
      <c r="H57" s="931"/>
      <c r="I57" s="590"/>
      <c r="J57" s="931"/>
      <c r="K57" s="208"/>
    </row>
    <row r="58" spans="1:11" s="1824" customFormat="1" ht="11.25" hidden="1" customHeight="1">
      <c r="A58" s="4852"/>
      <c r="B58" s="438"/>
      <c r="D58" s="587" t="s">
        <v>461</v>
      </c>
      <c r="E58" s="589" t="s">
        <v>927</v>
      </c>
      <c r="F58" s="582" t="s">
        <v>908</v>
      </c>
      <c r="G58" s="590"/>
      <c r="H58" s="931"/>
      <c r="I58" s="590"/>
      <c r="J58" s="931"/>
      <c r="K58" s="208"/>
    </row>
    <row r="59" spans="1:11" s="1824" customFormat="1" ht="11.25" hidden="1" customHeight="1">
      <c r="A59" s="4852"/>
      <c r="B59" s="438"/>
      <c r="D59" s="587" t="s">
        <v>933</v>
      </c>
      <c r="E59" s="589" t="s">
        <v>929</v>
      </c>
      <c r="F59" s="582" t="s">
        <v>908</v>
      </c>
      <c r="G59" s="590"/>
      <c r="H59" s="931"/>
      <c r="I59" s="590"/>
      <c r="J59" s="931"/>
      <c r="K59" s="208"/>
    </row>
    <row r="60" spans="1:11" s="1824" customFormat="1" ht="33.75" hidden="1" customHeight="1">
      <c r="A60" s="4852"/>
      <c r="B60" s="438"/>
      <c r="D60" s="587" t="s">
        <v>90</v>
      </c>
      <c r="E60" s="588" t="s">
        <v>934</v>
      </c>
      <c r="F60" s="641" t="s">
        <v>693</v>
      </c>
      <c r="G60" s="661"/>
      <c r="H60" s="931"/>
      <c r="I60" s="661"/>
      <c r="J60" s="931"/>
      <c r="K60" s="221" t="s">
        <v>935</v>
      </c>
    </row>
    <row r="61" spans="1:11" s="1824" customFormat="1" ht="33.75" hidden="1" customHeight="1">
      <c r="A61" s="4852"/>
      <c r="B61" s="438"/>
      <c r="D61" s="587" t="s">
        <v>91</v>
      </c>
      <c r="E61" s="588" t="s">
        <v>936</v>
      </c>
      <c r="F61" s="646" t="s">
        <v>869</v>
      </c>
      <c r="G61" s="590"/>
      <c r="H61" s="931"/>
      <c r="I61" s="590"/>
      <c r="J61" s="931"/>
      <c r="K61" s="208"/>
    </row>
    <row r="62" spans="1:11" s="1824" customFormat="1" ht="22.5" hidden="1" customHeight="1">
      <c r="A62" s="4852"/>
      <c r="B62" s="438" t="s">
        <v>723</v>
      </c>
      <c r="D62" s="587" t="s">
        <v>138</v>
      </c>
      <c r="E62" s="588" t="s">
        <v>937</v>
      </c>
      <c r="F62" s="646" t="s">
        <v>445</v>
      </c>
      <c r="G62" s="317"/>
      <c r="H62" s="931"/>
      <c r="I62" s="317"/>
      <c r="J62" s="931"/>
      <c r="K62" s="208" t="s">
        <v>938</v>
      </c>
    </row>
    <row r="63" spans="1:11" s="1824" customFormat="1" ht="45" hidden="1" customHeight="1">
      <c r="A63" s="4852"/>
      <c r="B63" s="438" t="s">
        <v>723</v>
      </c>
      <c r="D63" s="587" t="s">
        <v>939</v>
      </c>
      <c r="E63" s="589" t="s">
        <v>940</v>
      </c>
      <c r="F63" s="641" t="s">
        <v>445</v>
      </c>
      <c r="G63" s="317"/>
      <c r="H63" s="931"/>
      <c r="I63" s="317"/>
      <c r="J63" s="931"/>
      <c r="K63" s="208" t="s">
        <v>938</v>
      </c>
    </row>
    <row r="64" spans="1:11" s="1826" customFormat="1" ht="11.25" customHeight="1">
      <c r="A64" s="941"/>
      <c r="B64" s="445"/>
      <c r="D64" s="942"/>
      <c r="E64" s="943"/>
    </row>
    <row r="65" spans="1:11" s="1824" customFormat="1" ht="22.5" hidden="1" customHeight="1">
      <c r="A65" s="4852" t="s">
        <v>941</v>
      </c>
      <c r="B65" s="438"/>
      <c r="D65" s="587">
        <v>1</v>
      </c>
      <c r="E65" s="663" t="s">
        <v>942</v>
      </c>
      <c r="F65" s="659" t="s">
        <v>859</v>
      </c>
      <c r="G65" s="660"/>
      <c r="H65" s="937"/>
      <c r="I65" s="660"/>
      <c r="J65" s="937"/>
      <c r="K65" s="220" t="s">
        <v>943</v>
      </c>
    </row>
    <row r="66" spans="1:11" s="1824" customFormat="1" ht="56.25" hidden="1" customHeight="1">
      <c r="A66" s="4852"/>
      <c r="B66" s="438"/>
      <c r="D66" s="662" t="s">
        <v>101</v>
      </c>
      <c r="E66" s="627" t="s">
        <v>944</v>
      </c>
      <c r="F66" s="582" t="s">
        <v>681</v>
      </c>
      <c r="G66" s="582" t="s">
        <v>681</v>
      </c>
      <c r="H66" s="446"/>
      <c r="I66" s="582" t="s">
        <v>681</v>
      </c>
      <c r="J66" s="446"/>
      <c r="K66" s="208"/>
    </row>
    <row r="67" spans="1:11" s="1824" customFormat="1" ht="33.75" hidden="1" customHeight="1">
      <c r="A67" s="4852"/>
      <c r="B67" s="438"/>
      <c r="D67" s="662" t="s">
        <v>757</v>
      </c>
      <c r="E67" s="864" t="s">
        <v>945</v>
      </c>
      <c r="F67" s="582" t="s">
        <v>911</v>
      </c>
      <c r="G67" s="647"/>
      <c r="H67" s="446"/>
      <c r="I67" s="647"/>
      <c r="J67" s="446"/>
      <c r="K67" s="208"/>
    </row>
    <row r="68" spans="1:11" s="1824" customFormat="1" ht="22.5" hidden="1" customHeight="1">
      <c r="A68" s="4852"/>
      <c r="B68" s="438"/>
      <c r="D68" s="662" t="s">
        <v>446</v>
      </c>
      <c r="E68" s="864" t="s">
        <v>946</v>
      </c>
      <c r="F68" s="582" t="s">
        <v>911</v>
      </c>
      <c r="G68" s="647"/>
      <c r="H68" s="446"/>
      <c r="I68" s="647"/>
      <c r="J68" s="446"/>
      <c r="K68" s="208"/>
    </row>
    <row r="69" spans="1:11" s="1824" customFormat="1" ht="22.5" hidden="1" customHeight="1">
      <c r="A69" s="4852"/>
      <c r="B69" s="438"/>
      <c r="D69" s="662" t="s">
        <v>449</v>
      </c>
      <c r="E69" s="864" t="s">
        <v>947</v>
      </c>
      <c r="F69" s="641" t="s">
        <v>693</v>
      </c>
      <c r="G69" s="661"/>
      <c r="H69" s="446"/>
      <c r="I69" s="661"/>
      <c r="J69" s="446"/>
      <c r="K69" s="208"/>
    </row>
    <row r="70" spans="1:11" s="1824" customFormat="1" ht="22.5" hidden="1" customHeight="1">
      <c r="A70" s="4852"/>
      <c r="B70" s="438"/>
      <c r="D70" s="662" t="s">
        <v>777</v>
      </c>
      <c r="E70" s="864" t="s">
        <v>948</v>
      </c>
      <c r="F70" s="641" t="s">
        <v>693</v>
      </c>
      <c r="G70" s="661"/>
      <c r="H70" s="446"/>
      <c r="I70" s="661"/>
      <c r="J70" s="446"/>
      <c r="K70" s="208"/>
    </row>
    <row r="71" spans="1:11" s="1824" customFormat="1" ht="22.5" hidden="1" customHeight="1">
      <c r="A71" s="4852"/>
      <c r="B71" s="438"/>
      <c r="D71" s="587" t="s">
        <v>88</v>
      </c>
      <c r="E71" s="588" t="s">
        <v>949</v>
      </c>
      <c r="F71" s="582" t="s">
        <v>911</v>
      </c>
      <c r="G71" s="483"/>
      <c r="H71" s="938"/>
      <c r="I71" s="483"/>
      <c r="J71" s="938"/>
      <c r="K71" s="221"/>
    </row>
    <row r="72" spans="1:11" s="1824" customFormat="1" ht="56.25" hidden="1" customHeight="1">
      <c r="A72" s="4852"/>
      <c r="B72" s="438"/>
      <c r="D72" s="587" t="s">
        <v>89</v>
      </c>
      <c r="E72" s="588" t="s">
        <v>950</v>
      </c>
      <c r="F72" s="641" t="s">
        <v>693</v>
      </c>
      <c r="G72" s="661"/>
      <c r="H72" s="931"/>
      <c r="I72" s="661"/>
      <c r="J72" s="931"/>
      <c r="K72" s="221"/>
    </row>
    <row r="73" spans="1:11" s="1824" customFormat="1" ht="33.75" hidden="1" customHeight="1">
      <c r="A73" s="4852"/>
      <c r="B73" s="438"/>
      <c r="D73" s="587" t="s">
        <v>128</v>
      </c>
      <c r="E73" s="588" t="s">
        <v>951</v>
      </c>
      <c r="F73" s="646" t="s">
        <v>869</v>
      </c>
      <c r="G73" s="590"/>
      <c r="H73" s="931"/>
      <c r="I73" s="590"/>
      <c r="J73" s="931"/>
      <c r="K73" s="208"/>
    </row>
    <row r="74" spans="1:11" s="1824" customFormat="1" ht="22.5" hidden="1" customHeight="1">
      <c r="A74" s="4852"/>
      <c r="B74" s="438" t="s">
        <v>723</v>
      </c>
      <c r="D74" s="587" t="s">
        <v>90</v>
      </c>
      <c r="E74" s="588" t="s">
        <v>952</v>
      </c>
      <c r="F74" s="646" t="s">
        <v>445</v>
      </c>
      <c r="G74" s="317"/>
      <c r="H74" s="931"/>
      <c r="I74" s="317"/>
      <c r="J74" s="931"/>
      <c r="K74" s="208" t="s">
        <v>938</v>
      </c>
    </row>
    <row r="75" spans="1:11" s="1824" customFormat="1" ht="45" hidden="1" customHeight="1">
      <c r="A75" s="4852"/>
      <c r="B75" s="438" t="s">
        <v>723</v>
      </c>
      <c r="D75" s="587" t="s">
        <v>953</v>
      </c>
      <c r="E75" s="589" t="s">
        <v>954</v>
      </c>
      <c r="F75" s="641" t="s">
        <v>445</v>
      </c>
      <c r="G75" s="317"/>
      <c r="H75" s="931"/>
      <c r="I75" s="317"/>
      <c r="J75" s="931"/>
      <c r="K75" s="208" t="s">
        <v>938</v>
      </c>
    </row>
    <row r="76" spans="1:11" s="1826" customFormat="1" ht="11.25" customHeight="1">
      <c r="A76" s="941"/>
      <c r="B76" s="445"/>
      <c r="D76" s="942"/>
      <c r="E76" s="943"/>
    </row>
    <row r="77" spans="1:11" s="1824" customFormat="1" ht="11.25" customHeight="1">
      <c r="A77" s="4852" t="s">
        <v>955</v>
      </c>
      <c r="B77" s="438"/>
      <c r="D77" s="587">
        <v>1</v>
      </c>
      <c r="E77" s="588" t="s">
        <v>956</v>
      </c>
      <c r="F77" s="641" t="s">
        <v>859</v>
      </c>
      <c r="G77" s="644"/>
      <c r="H77" s="931"/>
      <c r="I77" s="644"/>
      <c r="J77" s="931"/>
      <c r="K77" s="208" t="s">
        <v>957</v>
      </c>
    </row>
    <row r="78" spans="1:11" s="1824" customFormat="1" ht="11.25" customHeight="1">
      <c r="A78" s="4852"/>
      <c r="B78" s="438"/>
      <c r="D78" s="587" t="s">
        <v>101</v>
      </c>
      <c r="E78" s="588" t="s">
        <v>958</v>
      </c>
      <c r="F78" s="641" t="s">
        <v>859</v>
      </c>
      <c r="G78" s="644"/>
      <c r="H78" s="931"/>
      <c r="I78" s="644"/>
      <c r="J78" s="931"/>
      <c r="K78" s="208" t="s">
        <v>959</v>
      </c>
    </row>
    <row r="79" spans="1:11" s="1824" customFormat="1" ht="22.5" customHeight="1">
      <c r="A79" s="4852"/>
      <c r="B79" s="438"/>
      <c r="D79" s="587" t="s">
        <v>88</v>
      </c>
      <c r="E79" s="642" t="s">
        <v>960</v>
      </c>
      <c r="F79" s="582" t="s">
        <v>908</v>
      </c>
      <c r="G79" s="644"/>
      <c r="H79" s="931"/>
      <c r="I79" s="644"/>
      <c r="J79" s="931"/>
      <c r="K79" s="208" t="s">
        <v>961</v>
      </c>
    </row>
    <row r="80" spans="1:11" s="1824" customFormat="1" ht="11.25" customHeight="1">
      <c r="A80" s="4852"/>
      <c r="B80" s="438"/>
      <c r="D80" s="587" t="s">
        <v>465</v>
      </c>
      <c r="E80" s="643" t="s">
        <v>962</v>
      </c>
      <c r="F80" s="582" t="s">
        <v>908</v>
      </c>
      <c r="G80" s="644"/>
      <c r="H80" s="931"/>
      <c r="I80" s="644"/>
      <c r="J80" s="931"/>
      <c r="K80" s="208"/>
    </row>
    <row r="81" spans="1:11" s="1824" customFormat="1" ht="11.25" customHeight="1">
      <c r="A81" s="4852"/>
      <c r="B81" s="438"/>
      <c r="D81" s="587" t="s">
        <v>473</v>
      </c>
      <c r="E81" s="643" t="s">
        <v>963</v>
      </c>
      <c r="F81" s="582" t="s">
        <v>908</v>
      </c>
      <c r="G81" s="644"/>
      <c r="H81" s="931"/>
      <c r="I81" s="644"/>
      <c r="J81" s="931"/>
      <c r="K81" s="208"/>
    </row>
    <row r="82" spans="1:11" s="1824" customFormat="1" ht="11.25" customHeight="1">
      <c r="A82" s="4852"/>
      <c r="B82" s="438"/>
      <c r="D82" s="587" t="s">
        <v>475</v>
      </c>
      <c r="E82" s="643" t="s">
        <v>964</v>
      </c>
      <c r="F82" s="582" t="s">
        <v>908</v>
      </c>
      <c r="G82" s="644"/>
      <c r="H82" s="931"/>
      <c r="I82" s="644"/>
      <c r="J82" s="931"/>
      <c r="K82" s="208"/>
    </row>
    <row r="83" spans="1:11" s="1824" customFormat="1" ht="11.25" customHeight="1">
      <c r="A83" s="4852"/>
      <c r="B83" s="438"/>
      <c r="D83" s="587" t="s">
        <v>477</v>
      </c>
      <c r="E83" s="643" t="s">
        <v>965</v>
      </c>
      <c r="F83" s="582" t="s">
        <v>908</v>
      </c>
      <c r="G83" s="644"/>
      <c r="H83" s="931"/>
      <c r="I83" s="644"/>
      <c r="J83" s="931"/>
      <c r="K83" s="208"/>
    </row>
    <row r="84" spans="1:11" s="1824" customFormat="1" ht="11.25" customHeight="1">
      <c r="A84" s="4852"/>
      <c r="B84" s="438"/>
      <c r="D84" s="587" t="s">
        <v>966</v>
      </c>
      <c r="E84" s="643" t="s">
        <v>967</v>
      </c>
      <c r="F84" s="582" t="s">
        <v>908</v>
      </c>
      <c r="G84" s="644"/>
      <c r="H84" s="931"/>
      <c r="I84" s="644"/>
      <c r="J84" s="931"/>
      <c r="K84" s="208"/>
    </row>
    <row r="85" spans="1:11" s="1824" customFormat="1" ht="11.25" customHeight="1">
      <c r="A85" s="4852"/>
      <c r="B85" s="438"/>
      <c r="D85" s="587" t="s">
        <v>968</v>
      </c>
      <c r="E85" s="643" t="s">
        <v>969</v>
      </c>
      <c r="F85" s="582" t="s">
        <v>908</v>
      </c>
      <c r="G85" s="644"/>
      <c r="H85" s="931"/>
      <c r="I85" s="644"/>
      <c r="J85" s="931"/>
      <c r="K85" s="208"/>
    </row>
    <row r="86" spans="1:11" s="1824" customFormat="1" ht="11.25" customHeight="1">
      <c r="A86" s="4852"/>
      <c r="B86" s="438"/>
      <c r="D86" s="587" t="s">
        <v>970</v>
      </c>
      <c r="E86" s="643" t="s">
        <v>971</v>
      </c>
      <c r="F86" s="582" t="s">
        <v>908</v>
      </c>
      <c r="G86" s="644"/>
      <c r="H86" s="931"/>
      <c r="I86" s="644"/>
      <c r="J86" s="931"/>
      <c r="K86" s="208"/>
    </row>
    <row r="87" spans="1:11" s="1824" customFormat="1" ht="45" customHeight="1">
      <c r="A87" s="4852"/>
      <c r="B87" s="438"/>
      <c r="D87" s="587" t="s">
        <v>89</v>
      </c>
      <c r="E87" s="588" t="s">
        <v>972</v>
      </c>
      <c r="F87" s="582" t="s">
        <v>908</v>
      </c>
      <c r="G87" s="644"/>
      <c r="H87" s="931"/>
      <c r="I87" s="644"/>
      <c r="J87" s="931"/>
      <c r="K87" s="208" t="s">
        <v>973</v>
      </c>
    </row>
    <row r="88" spans="1:11" s="1824" customFormat="1" ht="11.25" customHeight="1">
      <c r="A88" s="4852"/>
      <c r="B88" s="438"/>
      <c r="D88" s="587" t="s">
        <v>802</v>
      </c>
      <c r="E88" s="643" t="s">
        <v>962</v>
      </c>
      <c r="F88" s="582" t="s">
        <v>908</v>
      </c>
      <c r="G88" s="644"/>
      <c r="H88" s="931"/>
      <c r="I88" s="644"/>
      <c r="J88" s="931"/>
      <c r="K88" s="208"/>
    </row>
    <row r="89" spans="1:11" s="1824" customFormat="1" ht="11.25" customHeight="1">
      <c r="A89" s="4852"/>
      <c r="B89" s="438"/>
      <c r="D89" s="587" t="s">
        <v>845</v>
      </c>
      <c r="E89" s="643" t="s">
        <v>963</v>
      </c>
      <c r="F89" s="582" t="s">
        <v>908</v>
      </c>
      <c r="G89" s="644"/>
      <c r="H89" s="931"/>
      <c r="I89" s="644"/>
      <c r="J89" s="931"/>
      <c r="K89" s="208"/>
    </row>
    <row r="90" spans="1:11" s="1824" customFormat="1" ht="11.25" customHeight="1">
      <c r="A90" s="4852"/>
      <c r="B90" s="438"/>
      <c r="D90" s="587" t="s">
        <v>848</v>
      </c>
      <c r="E90" s="643" t="s">
        <v>964</v>
      </c>
      <c r="F90" s="582" t="s">
        <v>908</v>
      </c>
      <c r="G90" s="644"/>
      <c r="H90" s="931"/>
      <c r="I90" s="644"/>
      <c r="J90" s="931"/>
      <c r="K90" s="208"/>
    </row>
    <row r="91" spans="1:11" s="1824" customFormat="1" ht="11.25" customHeight="1">
      <c r="A91" s="4852"/>
      <c r="B91" s="438"/>
      <c r="D91" s="587" t="s">
        <v>926</v>
      </c>
      <c r="E91" s="643" t="s">
        <v>965</v>
      </c>
      <c r="F91" s="582" t="s">
        <v>908</v>
      </c>
      <c r="G91" s="644"/>
      <c r="H91" s="931"/>
      <c r="I91" s="644"/>
      <c r="J91" s="931"/>
      <c r="K91" s="208"/>
    </row>
    <row r="92" spans="1:11" s="1824" customFormat="1" ht="11.25" customHeight="1">
      <c r="A92" s="4852"/>
      <c r="B92" s="438"/>
      <c r="D92" s="587" t="s">
        <v>928</v>
      </c>
      <c r="E92" s="643" t="s">
        <v>967</v>
      </c>
      <c r="F92" s="582" t="s">
        <v>908</v>
      </c>
      <c r="G92" s="644"/>
      <c r="H92" s="931"/>
      <c r="I92" s="644"/>
      <c r="J92" s="931"/>
      <c r="K92" s="208"/>
    </row>
    <row r="93" spans="1:11" s="1824" customFormat="1" ht="11.25" customHeight="1">
      <c r="A93" s="4852"/>
      <c r="B93" s="438"/>
      <c r="D93" s="587" t="s">
        <v>974</v>
      </c>
      <c r="E93" s="643" t="s">
        <v>969</v>
      </c>
      <c r="F93" s="582" t="s">
        <v>908</v>
      </c>
      <c r="G93" s="644"/>
      <c r="H93" s="931"/>
      <c r="I93" s="644"/>
      <c r="J93" s="931"/>
      <c r="K93" s="208"/>
    </row>
    <row r="94" spans="1:11" s="1824" customFormat="1" ht="11.25" customHeight="1">
      <c r="A94" s="4852"/>
      <c r="B94" s="438"/>
      <c r="D94" s="587" t="s">
        <v>975</v>
      </c>
      <c r="E94" s="643" t="s">
        <v>971</v>
      </c>
      <c r="F94" s="582" t="s">
        <v>908</v>
      </c>
      <c r="G94" s="644"/>
      <c r="H94" s="931"/>
      <c r="I94" s="644"/>
      <c r="J94" s="931"/>
      <c r="K94" s="208"/>
    </row>
    <row r="95" spans="1:11" s="1824" customFormat="1" ht="24.75" customHeight="1">
      <c r="A95" s="4852"/>
      <c r="B95" s="438"/>
      <c r="D95" s="587" t="s">
        <v>128</v>
      </c>
      <c r="E95" s="588" t="s">
        <v>976</v>
      </c>
      <c r="F95" s="645" t="s">
        <v>693</v>
      </c>
      <c r="G95" s="647"/>
      <c r="H95" s="931"/>
      <c r="I95" s="647"/>
      <c r="J95" s="931"/>
      <c r="K95" s="208" t="s">
        <v>977</v>
      </c>
    </row>
    <row r="96" spans="1:11" s="1824" customFormat="1" ht="33.75" customHeight="1">
      <c r="A96" s="4852"/>
      <c r="B96" s="438"/>
      <c r="D96" s="587" t="s">
        <v>90</v>
      </c>
      <c r="E96" s="588" t="s">
        <v>978</v>
      </c>
      <c r="F96" s="646" t="s">
        <v>869</v>
      </c>
      <c r="G96" s="648"/>
      <c r="H96" s="931"/>
      <c r="I96" s="648"/>
      <c r="J96" s="931"/>
      <c r="K96" s="208"/>
    </row>
    <row r="97" spans="1:11" s="1824" customFormat="1" ht="22.5" customHeight="1">
      <c r="A97" s="4852"/>
      <c r="B97" s="438" t="s">
        <v>723</v>
      </c>
      <c r="D97" s="587" t="s">
        <v>91</v>
      </c>
      <c r="E97" s="588" t="s">
        <v>979</v>
      </c>
      <c r="F97" s="646" t="s">
        <v>445</v>
      </c>
      <c r="G97" s="320"/>
      <c r="H97" s="931"/>
      <c r="I97" s="320"/>
      <c r="J97" s="931"/>
      <c r="K97" s="208" t="s">
        <v>938</v>
      </c>
    </row>
    <row r="98" spans="1:11" s="1824" customFormat="1" ht="45" customHeight="1">
      <c r="A98" s="4852"/>
      <c r="B98" s="438" t="s">
        <v>723</v>
      </c>
      <c r="D98" s="587" t="s">
        <v>980</v>
      </c>
      <c r="E98" s="589" t="s">
        <v>981</v>
      </c>
      <c r="F98" s="641" t="s">
        <v>445</v>
      </c>
      <c r="G98" s="320"/>
      <c r="H98" s="931"/>
      <c r="I98" s="320"/>
      <c r="J98" s="931"/>
      <c r="K98" s="208" t="s">
        <v>938</v>
      </c>
    </row>
    <row r="99" spans="1:11" s="1824" customFormat="1" ht="95.25" customHeight="1">
      <c r="A99" s="4852"/>
      <c r="B99" s="438" t="s">
        <v>723</v>
      </c>
      <c r="D99" s="587" t="s">
        <v>138</v>
      </c>
      <c r="E99" s="588" t="s">
        <v>982</v>
      </c>
      <c r="F99" s="641" t="s">
        <v>445</v>
      </c>
      <c r="G99" s="320"/>
      <c r="H99" s="931"/>
      <c r="I99" s="320"/>
      <c r="J99" s="931"/>
      <c r="K99" s="208" t="s">
        <v>938</v>
      </c>
    </row>
    <row r="100" spans="1:11" s="1824" customFormat="1" ht="22.5" customHeight="1">
      <c r="A100" s="4852"/>
      <c r="B100" s="438" t="s">
        <v>723</v>
      </c>
      <c r="D100" s="587" t="s">
        <v>151</v>
      </c>
      <c r="E100" s="588" t="s">
        <v>983</v>
      </c>
      <c r="F100" s="641" t="s">
        <v>445</v>
      </c>
      <c r="G100" s="320"/>
      <c r="H100" s="931"/>
      <c r="I100" s="320"/>
      <c r="J100" s="931"/>
      <c r="K100" s="208" t="s">
        <v>938</v>
      </c>
    </row>
    <row r="101" spans="1:11" s="1826" customFormat="1" ht="11.25" customHeight="1">
      <c r="A101" s="941"/>
      <c r="B101" s="445"/>
      <c r="D101" s="942"/>
      <c r="E101" s="94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rgb="FFE26B0A"/>
  </sheetPr>
  <dimension ref="A1:U39"/>
  <sheetViews>
    <sheetView showGridLines="0" topLeftCell="C21" zoomScale="90" workbookViewId="0"/>
  </sheetViews>
  <sheetFormatPr defaultColWidth="10.5703125" defaultRowHeight="15" customHeight="1"/>
  <cols>
    <col min="1" max="1" width="9.140625" style="1936" hidden="1" customWidth="1"/>
    <col min="2" max="2" width="9.140625" style="1938" hidden="1" customWidth="1"/>
    <col min="3" max="3" width="4.7109375" style="4080" customWidth="1"/>
    <col min="4" max="4" width="6.28515625" style="1938" customWidth="1"/>
    <col min="5" max="5" width="36.7109375" style="1938" customWidth="1"/>
    <col min="6" max="6" width="9.5703125" style="1938" customWidth="1"/>
    <col min="7" max="7" width="25.7109375" style="1824" hidden="1" customWidth="1"/>
    <col min="8" max="8" width="33.7109375" style="1824" hidden="1" customWidth="1"/>
    <col min="9" max="9" width="25.7109375" style="1938" customWidth="1"/>
    <col min="10" max="10" width="33.7109375" style="1938" customWidth="1"/>
    <col min="11" max="11" width="93.42578125" style="1825" customWidth="1"/>
    <col min="12" max="20" width="10.5703125" style="1938"/>
    <col min="21" max="21" width="10.5703125" style="4079"/>
  </cols>
  <sheetData>
    <row r="1" spans="1:21" s="1825" customFormat="1" ht="15" hidden="1" customHeight="1">
      <c r="C1" s="594"/>
      <c r="G1" s="352">
        <v>4</v>
      </c>
      <c r="I1" s="352">
        <v>4</v>
      </c>
      <c r="U1" s="354"/>
    </row>
    <row r="2" spans="1:21" s="1825" customFormat="1" ht="15" hidden="1" customHeight="1">
      <c r="C2" s="594"/>
      <c r="U2" s="354"/>
    </row>
    <row r="3" spans="1:21" ht="22.5" hidden="1" customHeight="1">
      <c r="A3" s="432"/>
      <c r="B3" s="4857"/>
      <c r="C3" s="4858"/>
      <c r="D3" s="610" t="str">
        <f>B3&amp;".1"</f>
        <v>.1</v>
      </c>
      <c r="E3" s="611" t="s">
        <v>984</v>
      </c>
      <c r="F3" s="612" t="s">
        <v>445</v>
      </c>
      <c r="G3" s="607"/>
      <c r="H3" s="336"/>
      <c r="I3" s="607"/>
      <c r="J3" s="336"/>
      <c r="K3" s="208" t="s">
        <v>985</v>
      </c>
    </row>
    <row r="4" spans="1:21" ht="15" hidden="1" customHeight="1">
      <c r="A4" s="432"/>
      <c r="B4" s="4857"/>
      <c r="C4" s="4858"/>
      <c r="D4" s="610" t="str">
        <f>B3&amp;".2"</f>
        <v>.2</v>
      </c>
      <c r="E4" s="611" t="s">
        <v>986</v>
      </c>
      <c r="F4" s="612" t="s">
        <v>445</v>
      </c>
      <c r="G4" s="1649" t="s">
        <v>24</v>
      </c>
      <c r="H4" s="336"/>
      <c r="I4" s="1649" t="s">
        <v>24</v>
      </c>
      <c r="J4" s="336"/>
      <c r="K4" s="208" t="s">
        <v>987</v>
      </c>
    </row>
    <row r="5" spans="1:21" s="1825" customFormat="1" ht="15" hidden="1" customHeight="1">
      <c r="C5" s="594"/>
      <c r="U5" s="354"/>
    </row>
    <row r="6" spans="1:21" ht="22.5" hidden="1" customHeight="1">
      <c r="A6" s="432"/>
      <c r="B6" s="4857"/>
      <c r="C6" s="4858"/>
      <c r="D6" s="610" t="str">
        <f>B6&amp;".1"</f>
        <v>.1</v>
      </c>
      <c r="E6" s="611" t="s">
        <v>988</v>
      </c>
      <c r="F6" s="612" t="s">
        <v>445</v>
      </c>
      <c r="G6" s="607"/>
      <c r="H6" s="336"/>
      <c r="I6" s="607"/>
      <c r="J6" s="336"/>
      <c r="K6" s="208" t="s">
        <v>989</v>
      </c>
    </row>
    <row r="7" spans="1:21" ht="15" hidden="1" customHeight="1">
      <c r="A7" s="432"/>
      <c r="B7" s="4857"/>
      <c r="C7" s="4858"/>
      <c r="D7" s="610" t="str">
        <f>B6&amp;".2"</f>
        <v>.2</v>
      </c>
      <c r="E7" s="611" t="s">
        <v>986</v>
      </c>
      <c r="F7" s="612" t="s">
        <v>445</v>
      </c>
      <c r="G7" s="1649" t="s">
        <v>24</v>
      </c>
      <c r="H7" s="336"/>
      <c r="I7" s="1649" t="s">
        <v>24</v>
      </c>
      <c r="J7" s="336"/>
      <c r="K7" s="208" t="s">
        <v>987</v>
      </c>
    </row>
    <row r="8" spans="1:21" s="1825" customFormat="1" ht="15" hidden="1" customHeight="1">
      <c r="C8" s="594"/>
      <c r="U8" s="354"/>
    </row>
    <row r="9" spans="1:21" ht="22.5" hidden="1" customHeight="1">
      <c r="A9" s="432"/>
      <c r="B9" s="4857"/>
      <c r="C9" s="4858"/>
      <c r="D9" s="610" t="str">
        <f>B9&amp;".1"</f>
        <v>.1</v>
      </c>
      <c r="E9" s="611" t="s">
        <v>990</v>
      </c>
      <c r="F9" s="612" t="s">
        <v>445</v>
      </c>
      <c r="G9" s="618" t="s">
        <v>24</v>
      </c>
      <c r="H9" s="336" t="s">
        <v>24</v>
      </c>
      <c r="I9" s="618" t="s">
        <v>24</v>
      </c>
      <c r="J9" s="336" t="s">
        <v>24</v>
      </c>
      <c r="K9" s="208"/>
    </row>
    <row r="10" spans="1:21" ht="15" hidden="1" customHeight="1">
      <c r="A10" s="432"/>
      <c r="B10" s="4857"/>
      <c r="C10" s="4858"/>
      <c r="D10" s="610" t="str">
        <f>B9&amp;".2"</f>
        <v>.2</v>
      </c>
      <c r="E10" s="611" t="s">
        <v>991</v>
      </c>
      <c r="F10" s="612" t="s">
        <v>445</v>
      </c>
      <c r="G10" s="1643" t="s">
        <v>24</v>
      </c>
      <c r="H10" s="336" t="s">
        <v>24</v>
      </c>
      <c r="I10" s="1643" t="s">
        <v>24</v>
      </c>
      <c r="J10" s="336" t="s">
        <v>24</v>
      </c>
      <c r="K10" s="208" t="s">
        <v>992</v>
      </c>
    </row>
    <row r="11" spans="1:21" ht="15" hidden="1" customHeight="1">
      <c r="A11" s="432"/>
      <c r="B11" s="4857"/>
      <c r="C11" s="4858"/>
      <c r="D11" s="610" t="str">
        <f>B9&amp;".3"</f>
        <v>.3</v>
      </c>
      <c r="E11" s="611" t="s">
        <v>993</v>
      </c>
      <c r="F11" s="612" t="s">
        <v>445</v>
      </c>
      <c r="G11" s="1643" t="s">
        <v>24</v>
      </c>
      <c r="H11" s="336" t="s">
        <v>24</v>
      </c>
      <c r="I11" s="1643" t="s">
        <v>24</v>
      </c>
      <c r="J11" s="336" t="s">
        <v>24</v>
      </c>
      <c r="K11" s="208" t="s">
        <v>994</v>
      </c>
    </row>
    <row r="12" spans="1:21" s="1825" customFormat="1" ht="15" hidden="1" customHeight="1">
      <c r="C12" s="594"/>
      <c r="U12" s="354"/>
    </row>
    <row r="13" spans="1:21" ht="33.75" hidden="1" customHeight="1">
      <c r="A13" s="432"/>
      <c r="B13" s="4857"/>
      <c r="C13" s="4858"/>
      <c r="D13" s="610" t="str">
        <f>B13&amp;".1"</f>
        <v>.1</v>
      </c>
      <c r="E13" s="611" t="s">
        <v>995</v>
      </c>
      <c r="F13" s="612" t="s">
        <v>445</v>
      </c>
      <c r="G13" s="618" t="s">
        <v>24</v>
      </c>
      <c r="H13" s="336" t="s">
        <v>24</v>
      </c>
      <c r="I13" s="618" t="s">
        <v>24</v>
      </c>
      <c r="J13" s="336" t="s">
        <v>24</v>
      </c>
      <c r="K13" s="208" t="s">
        <v>996</v>
      </c>
    </row>
    <row r="14" spans="1:21" ht="15" hidden="1" customHeight="1">
      <c r="B14" s="4857"/>
      <c r="C14" s="4858"/>
      <c r="D14" s="610" t="str">
        <f>B13&amp;".2"</f>
        <v>.2</v>
      </c>
      <c r="E14" s="611" t="s">
        <v>997</v>
      </c>
      <c r="F14" s="612" t="s">
        <v>445</v>
      </c>
      <c r="G14" s="1643" t="s">
        <v>24</v>
      </c>
      <c r="H14" s="336" t="s">
        <v>24</v>
      </c>
      <c r="I14" s="1643" t="s">
        <v>24</v>
      </c>
      <c r="J14" s="336" t="s">
        <v>24</v>
      </c>
      <c r="K14" s="208" t="s">
        <v>998</v>
      </c>
    </row>
    <row r="15" spans="1:21" s="1825" customFormat="1" ht="15" hidden="1" customHeight="1">
      <c r="C15" s="594"/>
      <c r="U15" s="354"/>
    </row>
    <row r="16" spans="1:21" s="1825" customFormat="1" ht="15" hidden="1" customHeight="1">
      <c r="C16" s="594"/>
      <c r="U16" s="354"/>
    </row>
    <row r="17" spans="1:21" s="1825" customFormat="1" ht="15" hidden="1" customHeight="1">
      <c r="C17" s="594"/>
      <c r="U17" s="354"/>
    </row>
    <row r="18" spans="1:21" s="1825" customFormat="1" ht="15" hidden="1" customHeight="1">
      <c r="C18" s="594"/>
      <c r="U18" s="354"/>
    </row>
    <row r="19" spans="1:21" s="1825" customFormat="1" ht="15" hidden="1" customHeight="1">
      <c r="C19" s="594"/>
      <c r="U19" s="354"/>
    </row>
    <row r="20" spans="1:21" s="1825" customFormat="1" ht="15" hidden="1" customHeight="1">
      <c r="C20" s="594"/>
      <c r="U20" s="354"/>
    </row>
    <row r="21" spans="1:21" ht="15" customHeight="1">
      <c r="C21" s="97"/>
      <c r="D21" s="436"/>
      <c r="E21" s="436"/>
      <c r="F21" s="436"/>
      <c r="G21" s="436"/>
      <c r="H21" s="436"/>
      <c r="I21" s="436"/>
      <c r="J21" s="436"/>
    </row>
    <row r="22" spans="1:21" ht="22.5" customHeight="1">
      <c r="C22" s="97"/>
      <c r="D22" s="47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4743"/>
      <c r="F22" s="4743"/>
      <c r="G22" s="4743"/>
      <c r="H22" s="4743"/>
      <c r="I22" s="4743"/>
      <c r="J22" s="598"/>
      <c r="K22" s="463"/>
    </row>
    <row r="23" spans="1:21" ht="15" customHeight="1">
      <c r="C23" s="97"/>
      <c r="D23" s="4690" t="str">
        <f>IF(org=0,"Не определено",org)</f>
        <v>ОГКП "Ульяновский областной водоканал"</v>
      </c>
      <c r="E23" s="4690"/>
      <c r="F23" s="4690"/>
      <c r="G23" s="4690"/>
      <c r="H23" s="4690"/>
      <c r="I23" s="4690"/>
      <c r="J23" s="598"/>
      <c r="K23" s="463"/>
    </row>
    <row r="24" spans="1:21" ht="15" customHeight="1">
      <c r="C24" s="97"/>
      <c r="D24" s="436"/>
      <c r="E24" s="436"/>
      <c r="F24" s="436"/>
      <c r="G24" s="463">
        <v>22</v>
      </c>
      <c r="H24" s="670"/>
      <c r="I24" s="463">
        <v>22</v>
      </c>
      <c r="J24" s="670"/>
    </row>
    <row r="25" spans="1:21" s="1824" customFormat="1" ht="0.75" customHeight="1">
      <c r="A25" s="677"/>
      <c r="C25" s="97"/>
      <c r="D25" s="436"/>
      <c r="E25" s="436"/>
      <c r="F25" s="436"/>
      <c r="G25" s="463"/>
      <c r="H25" s="670"/>
      <c r="I25" s="463" t="s">
        <v>179</v>
      </c>
      <c r="J25" s="670"/>
      <c r="K25" s="352"/>
      <c r="U25" s="597"/>
    </row>
    <row r="26" spans="1:21" ht="15" customHeight="1">
      <c r="C26" s="97"/>
      <c r="D26" s="631"/>
      <c r="E26" s="4834" t="s">
        <v>170</v>
      </c>
      <c r="F26" s="4835"/>
      <c r="G26" s="4855" t="str">
        <f>IF(G25="","",INDEX(DIFFERENTIATION_UNMERGE_VD,MATCH(G25,DIFFERENTIATION_ID_DIFF,0)))</f>
        <v/>
      </c>
      <c r="H26" s="4856"/>
      <c r="I26" s="4855">
        <f>IF(I25="","",INDEX(DIFFERENTIATION_UNMERGE_VD,MATCH(I25,DIFFERENTIATION_ID_DIFF,0)))</f>
        <v>0</v>
      </c>
      <c r="J26" s="4856"/>
      <c r="K26" s="4689" t="s">
        <v>440</v>
      </c>
    </row>
    <row r="27" spans="1:21" s="1824" customFormat="1" ht="15" customHeight="1">
      <c r="A27" s="677"/>
      <c r="C27" s="97"/>
      <c r="D27" s="631"/>
      <c r="E27" s="4834" t="s">
        <v>699</v>
      </c>
      <c r="F27" s="4835"/>
      <c r="G27" s="4855" t="str">
        <f>IF(G25="","",INDEX(DIFFERENTIATION_UNMERGE_AREA,MATCH(G25,DIFFERENTIATION_ID_DIFF,0)))</f>
        <v/>
      </c>
      <c r="H27" s="4856"/>
      <c r="I27" s="4855" t="str">
        <f>IF(I25="","",INDEX(DIFFERENTIATION_UNMERGE_AREA,MATCH(I25,DIFFERENTIATION_ID_DIFF,0)))</f>
        <v/>
      </c>
      <c r="J27" s="4856"/>
      <c r="K27" s="4707"/>
      <c r="U27" s="597"/>
    </row>
    <row r="28" spans="1:21" s="1824" customFormat="1" ht="15" customHeight="1">
      <c r="A28" s="677"/>
      <c r="C28" s="97"/>
      <c r="D28" s="631"/>
      <c r="E28" s="4834" t="s">
        <v>700</v>
      </c>
      <c r="F28" s="4835"/>
      <c r="G28" s="4855" t="str">
        <f>IF(G25="","",INDEX(DIFFERENTIATION_UNMERGE_SYSTEM,MATCH(G25,DIFFERENTIATION_ID_DIFF,0)))</f>
        <v/>
      </c>
      <c r="H28" s="4856"/>
      <c r="I28" s="4855" t="str">
        <f>IF(I25="","",INDEX(DIFFERENTIATION_UNMERGE_SYSTEM,MATCH(I25,DIFFERENTIATION_ID_DIFF,0)))</f>
        <v>без дифференциации</v>
      </c>
      <c r="J28" s="4856"/>
      <c r="K28" s="4707"/>
      <c r="U28" s="597"/>
    </row>
    <row r="29" spans="1:21" s="1824" customFormat="1" ht="15" customHeight="1">
      <c r="A29" s="677"/>
      <c r="C29" s="97"/>
      <c r="D29" s="4836" t="s">
        <v>439</v>
      </c>
      <c r="E29" s="4837"/>
      <c r="F29" s="4837"/>
      <c r="G29" s="801"/>
      <c r="H29" s="801"/>
      <c r="I29" s="801"/>
      <c r="J29" s="802"/>
      <c r="K29" s="4707"/>
      <c r="U29" s="597"/>
    </row>
    <row r="30" spans="1:21" ht="33.75" customHeight="1">
      <c r="C30" s="97"/>
      <c r="D30" s="679" t="s">
        <v>86</v>
      </c>
      <c r="E30" s="678" t="s">
        <v>441</v>
      </c>
      <c r="F30" s="678" t="s">
        <v>701</v>
      </c>
      <c r="G30" s="726" t="s">
        <v>442</v>
      </c>
      <c r="H30" s="725" t="s">
        <v>531</v>
      </c>
      <c r="I30" s="605" t="s">
        <v>442</v>
      </c>
      <c r="J30" s="393" t="s">
        <v>531</v>
      </c>
      <c r="K30" s="4710"/>
    </row>
    <row r="31" spans="1:21" ht="15" hidden="1" customHeight="1">
      <c r="C31" s="97"/>
      <c r="D31" s="517"/>
      <c r="E31" s="517"/>
      <c r="F31" s="517"/>
      <c r="G31" s="581"/>
      <c r="H31" s="581"/>
      <c r="I31" s="581"/>
      <c r="J31" s="581"/>
      <c r="K31" s="208"/>
    </row>
    <row r="32" spans="1:21" ht="22.5" customHeight="1">
      <c r="A32" s="432"/>
      <c r="B32" s="432" t="s">
        <v>999</v>
      </c>
      <c r="C32" s="453"/>
      <c r="D32" s="613">
        <v>1</v>
      </c>
      <c r="E32" s="614" t="s">
        <v>1000</v>
      </c>
      <c r="F32" s="612" t="s">
        <v>445</v>
      </c>
      <c r="G32" s="731" t="s">
        <v>445</v>
      </c>
      <c r="H32" s="731" t="s">
        <v>445</v>
      </c>
      <c r="I32" s="612" t="s">
        <v>445</v>
      </c>
      <c r="J32" s="612" t="s">
        <v>445</v>
      </c>
      <c r="K32" s="208"/>
    </row>
    <row r="33" spans="1:21" ht="11.25" customHeight="1">
      <c r="A33" s="432"/>
      <c r="C33" s="432"/>
      <c r="D33" s="273"/>
      <c r="E33" s="506" t="s">
        <v>721</v>
      </c>
      <c r="F33" s="498"/>
      <c r="G33" s="498"/>
      <c r="H33" s="498"/>
      <c r="I33" s="498"/>
      <c r="J33" s="498"/>
      <c r="K33" s="499"/>
      <c r="U33" s="432"/>
    </row>
    <row r="34" spans="1:21" ht="22.5" customHeight="1">
      <c r="A34" s="432"/>
      <c r="B34" s="507" t="s">
        <v>1001</v>
      </c>
      <c r="C34" s="453"/>
      <c r="D34" s="613">
        <v>2</v>
      </c>
      <c r="E34" s="614" t="s">
        <v>1002</v>
      </c>
      <c r="F34" s="738" t="s">
        <v>445</v>
      </c>
      <c r="G34" s="738" t="s">
        <v>445</v>
      </c>
      <c r="H34" s="738" t="s">
        <v>445</v>
      </c>
      <c r="I34" s="612"/>
      <c r="J34" s="612"/>
      <c r="K34" s="208"/>
    </row>
    <row r="35" spans="1:21" ht="11.25" customHeight="1">
      <c r="A35" s="432"/>
      <c r="C35" s="432"/>
      <c r="D35" s="273"/>
      <c r="E35" s="506" t="s">
        <v>1003</v>
      </c>
      <c r="F35" s="498"/>
      <c r="G35" s="615"/>
      <c r="H35" s="498"/>
      <c r="I35" s="615"/>
      <c r="J35" s="498"/>
      <c r="K35" s="499"/>
      <c r="U35" s="432"/>
    </row>
    <row r="36" spans="1:21" ht="67.5" customHeight="1">
      <c r="A36" s="432"/>
      <c r="B36" s="432" t="s">
        <v>1004</v>
      </c>
      <c r="C36" s="453"/>
      <c r="D36" s="613">
        <v>3</v>
      </c>
      <c r="E36" s="614" t="s">
        <v>1005</v>
      </c>
      <c r="F36" s="616" t="s">
        <v>445</v>
      </c>
      <c r="G36" s="732" t="s">
        <v>1006</v>
      </c>
      <c r="H36" s="731" t="s">
        <v>445</v>
      </c>
      <c r="I36" s="451" t="s">
        <v>1006</v>
      </c>
      <c r="J36" s="612" t="s">
        <v>445</v>
      </c>
      <c r="K36" s="208" t="s">
        <v>1007</v>
      </c>
    </row>
    <row r="37" spans="1:21" ht="11.25" customHeight="1">
      <c r="A37" s="432"/>
      <c r="C37" s="432"/>
      <c r="D37" s="273"/>
      <c r="E37" s="506" t="s">
        <v>1008</v>
      </c>
      <c r="F37" s="498"/>
      <c r="G37" s="615"/>
      <c r="H37" s="615"/>
      <c r="I37" s="615"/>
      <c r="J37" s="615"/>
      <c r="K37" s="499"/>
      <c r="U37" s="432"/>
    </row>
    <row r="38" spans="1:21" ht="67.5" customHeight="1">
      <c r="A38" s="432"/>
      <c r="B38" s="432" t="s">
        <v>1009</v>
      </c>
      <c r="C38" s="453"/>
      <c r="D38" s="613">
        <v>4</v>
      </c>
      <c r="E38" s="614" t="s">
        <v>1010</v>
      </c>
      <c r="F38" s="616" t="s">
        <v>445</v>
      </c>
      <c r="G38" s="732" t="s">
        <v>1006</v>
      </c>
      <c r="H38" s="733" t="s">
        <v>445</v>
      </c>
      <c r="I38" s="451" t="s">
        <v>1006</v>
      </c>
      <c r="J38" s="448" t="s">
        <v>445</v>
      </c>
      <c r="K38" s="601" t="s">
        <v>1011</v>
      </c>
    </row>
    <row r="39" spans="1:21" ht="11.25" customHeight="1">
      <c r="A39" s="432"/>
      <c r="C39" s="432"/>
      <c r="D39" s="273"/>
      <c r="E39" s="506" t="s">
        <v>1012</v>
      </c>
      <c r="F39" s="498"/>
      <c r="G39" s="498"/>
      <c r="H39" s="617"/>
      <c r="I39" s="498"/>
      <c r="J39" s="617"/>
      <c r="K39" s="499"/>
      <c r="U39" s="43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sheetPr>
    <tabColor theme="9" tint="-0.249977111117893"/>
  </sheetPr>
  <dimension ref="A1:AD15"/>
  <sheetViews>
    <sheetView showGridLines="0" topLeftCell="E4" zoomScale="85" workbookViewId="0"/>
  </sheetViews>
  <sheetFormatPr defaultColWidth="9.140625" defaultRowHeight="10.5" customHeight="1"/>
  <cols>
    <col min="1" max="3" width="6.7109375" style="4081" hidden="1" customWidth="1"/>
    <col min="4" max="4" width="6.7109375" style="1825" hidden="1" customWidth="1"/>
    <col min="5" max="5" width="3.7109375" style="1826" customWidth="1"/>
    <col min="6" max="6" width="6.28515625" style="1824" customWidth="1"/>
    <col min="7" max="7" width="37.7109375" style="1824" customWidth="1"/>
    <col min="8" max="8" width="16.5703125" style="1921" customWidth="1"/>
    <col min="9" max="10" width="19.7109375" style="1824" customWidth="1"/>
    <col min="11" max="11" width="25" style="1824" customWidth="1"/>
    <col min="12" max="13" width="25.7109375" style="1824" customWidth="1"/>
    <col min="14" max="16" width="17.7109375" style="1824" customWidth="1"/>
    <col min="17" max="24" width="19.7109375" style="1824" customWidth="1"/>
    <col min="25" max="25" width="8" style="1824" customWidth="1"/>
    <col min="26" max="26" width="3.28515625" style="1824" customWidth="1"/>
    <col min="27" max="27" width="6.28515625" style="1824" customWidth="1"/>
    <col min="28" max="28" width="34.140625" style="1824" customWidth="1"/>
    <col min="29" max="30" width="9.140625" style="1824"/>
  </cols>
  <sheetData>
    <row r="1" spans="1:30" s="1825" customFormat="1" ht="10.5" hidden="1" customHeight="1">
      <c r="A1" s="809"/>
      <c r="B1" s="809"/>
      <c r="C1" s="809"/>
      <c r="E1" s="463"/>
      <c r="H1" s="1061"/>
    </row>
    <row r="2" spans="1:30" ht="10.5" hidden="1" customHeight="1"/>
    <row r="3" spans="1:30" s="1932" customFormat="1" ht="10.5" hidden="1" customHeight="1">
      <c r="A3" s="809"/>
      <c r="B3" s="809"/>
      <c r="C3" s="809"/>
      <c r="D3" s="352"/>
      <c r="E3" s="290"/>
      <c r="H3" s="1057"/>
    </row>
    <row r="4" spans="1:30" ht="3" customHeight="1"/>
    <row r="5" spans="1:30" ht="25.5" customHeight="1">
      <c r="F5" s="4743" t="str">
        <f>IP_NAME_FORM</f>
        <v>Форма 7. Информация об инвестиционных программах организации водоотведения и отчетах об их исполнении</v>
      </c>
      <c r="G5" s="4743"/>
      <c r="H5" s="4743"/>
      <c r="I5" s="4743"/>
      <c r="J5" s="4743"/>
      <c r="K5" s="4743"/>
      <c r="M5" s="508"/>
      <c r="AB5" s="820"/>
    </row>
    <row r="6" spans="1:30" s="1924" customFormat="1" ht="15.75" customHeight="1">
      <c r="A6" s="1067"/>
      <c r="B6" s="1067"/>
      <c r="C6" s="1067"/>
      <c r="D6" s="1061"/>
      <c r="E6" s="1548"/>
      <c r="F6" s="4690" t="str">
        <f>IF(org=0,"Не определено",org)</f>
        <v>ОГКП "Ульяновский областной водоканал"</v>
      </c>
      <c r="G6" s="4690"/>
      <c r="H6" s="4690"/>
      <c r="I6" s="4690"/>
      <c r="J6" s="4690"/>
      <c r="K6" s="4690"/>
      <c r="M6" s="508"/>
      <c r="AB6" s="1049"/>
    </row>
    <row r="8" spans="1:30" ht="10.5" customHeight="1">
      <c r="A8" s="959"/>
      <c r="B8" s="959"/>
      <c r="C8" s="959"/>
      <c r="F8" s="4598" t="s">
        <v>439</v>
      </c>
      <c r="G8" s="4604"/>
      <c r="H8" s="4604"/>
      <c r="I8" s="4604"/>
      <c r="J8" s="4604"/>
      <c r="K8" s="4604"/>
      <c r="L8" s="4604"/>
      <c r="M8" s="4604"/>
      <c r="N8" s="4604"/>
      <c r="O8" s="4604"/>
      <c r="P8" s="4604"/>
      <c r="Q8" s="4604"/>
      <c r="R8" s="4604"/>
      <c r="S8" s="4604"/>
      <c r="T8" s="4604"/>
      <c r="U8" s="4604"/>
      <c r="V8" s="4604"/>
      <c r="W8" s="4604"/>
      <c r="X8" s="4604"/>
      <c r="Y8" s="4604"/>
      <c r="Z8" s="4604"/>
      <c r="AA8" s="4604"/>
      <c r="AB8" s="4597"/>
    </row>
    <row r="9" spans="1:30" ht="41.25" customHeight="1">
      <c r="A9" s="819"/>
      <c r="B9" s="819"/>
      <c r="C9" s="819"/>
      <c r="F9" s="4627" t="s">
        <v>86</v>
      </c>
      <c r="G9" s="4627" t="s">
        <v>1013</v>
      </c>
      <c r="H9" s="4689" t="s">
        <v>1014</v>
      </c>
      <c r="I9" s="4627" t="s">
        <v>1015</v>
      </c>
      <c r="J9" s="4627" t="s">
        <v>1016</v>
      </c>
      <c r="K9" s="4627" t="s">
        <v>1017</v>
      </c>
      <c r="L9" s="4627" t="s">
        <v>1018</v>
      </c>
      <c r="M9" s="4627" t="s">
        <v>1019</v>
      </c>
      <c r="N9" s="4719" t="s">
        <v>1020</v>
      </c>
      <c r="O9" s="4719"/>
      <c r="P9" s="4719"/>
      <c r="Q9" s="4768" t="s">
        <v>1021</v>
      </c>
      <c r="R9" s="4769"/>
      <c r="S9" s="4769"/>
      <c r="T9" s="4770"/>
      <c r="U9" s="4768" t="s">
        <v>1022</v>
      </c>
      <c r="V9" s="4769"/>
      <c r="W9" s="4769"/>
      <c r="X9" s="4770"/>
      <c r="Y9" s="4598" t="s">
        <v>1023</v>
      </c>
      <c r="Z9" s="4604"/>
      <c r="AA9" s="4604"/>
      <c r="AB9" s="4597"/>
    </row>
    <row r="10" spans="1:30" ht="41.25" customHeight="1">
      <c r="A10" s="819"/>
      <c r="B10" s="819"/>
      <c r="C10" s="819"/>
      <c r="F10" s="4689"/>
      <c r="G10" s="4689"/>
      <c r="H10" s="4738"/>
      <c r="I10" s="4689"/>
      <c r="J10" s="4689"/>
      <c r="K10" s="4689"/>
      <c r="L10" s="4689"/>
      <c r="M10" s="4689"/>
      <c r="N10" s="817" t="s">
        <v>1024</v>
      </c>
      <c r="O10" s="817" t="s">
        <v>1025</v>
      </c>
      <c r="P10" s="818" t="s">
        <v>1026</v>
      </c>
      <c r="Q10" s="829" t="s">
        <v>87</v>
      </c>
      <c r="R10" s="829" t="s">
        <v>1027</v>
      </c>
      <c r="S10" s="829" t="s">
        <v>1028</v>
      </c>
      <c r="T10" s="830" t="s">
        <v>1029</v>
      </c>
      <c r="U10" s="829" t="s">
        <v>87</v>
      </c>
      <c r="V10" s="829" t="s">
        <v>1030</v>
      </c>
      <c r="W10" s="829" t="s">
        <v>1028</v>
      </c>
      <c r="X10" s="830" t="s">
        <v>1029</v>
      </c>
      <c r="Y10" s="220" t="s">
        <v>1031</v>
      </c>
      <c r="Z10" s="4598" t="s">
        <v>86</v>
      </c>
      <c r="AA10" s="4597"/>
      <c r="AB10" s="957" t="s">
        <v>1032</v>
      </c>
    </row>
    <row r="11" spans="1:30" s="1821" customFormat="1" ht="5.25" hidden="1" customHeight="1">
      <c r="A11" s="960"/>
      <c r="B11" s="960"/>
      <c r="C11" s="960"/>
      <c r="E11" s="958"/>
      <c r="F11" s="4680" t="s">
        <v>517</v>
      </c>
      <c r="G11" s="4860"/>
      <c r="H11" s="4859"/>
      <c r="I11" s="4859"/>
      <c r="J11" s="4859"/>
      <c r="K11" s="4861"/>
      <c r="L11" s="4861"/>
      <c r="M11" s="4861"/>
      <c r="N11" s="4859"/>
      <c r="O11" s="4859"/>
      <c r="P11" s="4627"/>
      <c r="Q11" s="4693"/>
      <c r="R11" s="4693"/>
      <c r="S11" s="4693"/>
      <c r="T11" s="4859"/>
      <c r="U11" s="4693"/>
      <c r="V11" s="4693"/>
      <c r="W11" s="4693"/>
      <c r="X11" s="4859"/>
      <c r="Y11" s="4609"/>
      <c r="Z11" s="4609"/>
      <c r="AA11" s="4609"/>
      <c r="AB11" s="4609"/>
      <c r="AD11" s="438" t="s">
        <v>1033</v>
      </c>
    </row>
    <row r="12" spans="1:30" s="1821" customFormat="1" ht="5.25" hidden="1" customHeight="1">
      <c r="A12" s="810"/>
      <c r="B12" s="810"/>
      <c r="C12" s="810"/>
      <c r="E12" s="445"/>
      <c r="F12" s="4680"/>
      <c r="G12" s="4860"/>
      <c r="H12" s="4859"/>
      <c r="I12" s="4859"/>
      <c r="J12" s="4859"/>
      <c r="K12" s="4861"/>
      <c r="L12" s="4861"/>
      <c r="M12" s="4861"/>
      <c r="N12" s="4859"/>
      <c r="O12" s="4859"/>
      <c r="P12" s="4627"/>
      <c r="Q12" s="4693"/>
      <c r="R12" s="4693"/>
      <c r="S12" s="4693"/>
      <c r="T12" s="4859"/>
      <c r="U12" s="4693"/>
      <c r="V12" s="4693"/>
      <c r="W12" s="4693"/>
      <c r="X12" s="4859"/>
      <c r="Y12" s="4862"/>
      <c r="Z12" s="4862"/>
      <c r="AA12" s="4862"/>
      <c r="AB12" s="4862"/>
    </row>
    <row r="13" spans="1:30" ht="10.5" customHeight="1">
      <c r="F13" s="816"/>
      <c r="G13" s="572" t="s">
        <v>1034</v>
      </c>
      <c r="H13" s="1069"/>
      <c r="I13" s="498"/>
      <c r="J13" s="498"/>
      <c r="K13" s="498"/>
      <c r="L13" s="498"/>
      <c r="M13" s="498"/>
      <c r="N13" s="498"/>
      <c r="O13" s="498"/>
      <c r="P13" s="498"/>
      <c r="Q13" s="498"/>
      <c r="R13" s="498"/>
      <c r="S13" s="498"/>
      <c r="T13" s="498"/>
      <c r="U13" s="498"/>
      <c r="V13" s="498"/>
      <c r="W13" s="498"/>
      <c r="X13" s="498"/>
      <c r="Y13" s="498"/>
      <c r="Z13" s="617"/>
      <c r="AA13" s="617"/>
      <c r="AB13" s="831"/>
    </row>
    <row r="15" spans="1:30" s="1821" customFormat="1" ht="10.5" customHeight="1">
      <c r="A15" s="1068"/>
      <c r="B15" s="1068"/>
      <c r="C15" s="1068"/>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sheetPr>
    <tabColor theme="9" tint="-0.249977111117893"/>
  </sheetPr>
  <dimension ref="A1:BF19"/>
  <sheetViews>
    <sheetView showGridLines="0" topLeftCell="E4" zoomScale="90" workbookViewId="0"/>
  </sheetViews>
  <sheetFormatPr defaultColWidth="9.140625" defaultRowHeight="10.5" customHeight="1"/>
  <cols>
    <col min="1" max="3" width="4.140625" style="4081" hidden="1" customWidth="1"/>
    <col min="4" max="4" width="4.140625" style="1825" hidden="1" customWidth="1"/>
    <col min="5" max="5" width="3.7109375" style="1826" customWidth="1"/>
    <col min="6" max="6" width="14.42578125" style="1824" customWidth="1"/>
    <col min="7" max="7" width="3.7109375" style="1824" customWidth="1"/>
    <col min="8" max="8" width="7.7109375" style="1921" customWidth="1"/>
    <col min="9" max="10" width="16.7109375" style="1824" customWidth="1"/>
    <col min="11" max="11" width="25.7109375" style="1824" customWidth="1"/>
    <col min="12" max="12" width="8" style="4083" customWidth="1"/>
    <col min="13" max="13" width="15.5703125" style="4083" customWidth="1"/>
    <col min="14" max="14" width="3.28515625" style="1824" customWidth="1"/>
    <col min="15" max="15" width="4.7109375" style="1824" customWidth="1"/>
    <col min="16" max="16" width="9" style="1824" customWidth="1"/>
    <col min="17" max="17" width="21.7109375" style="1824" customWidth="1"/>
    <col min="18" max="18" width="14.7109375" style="1824" customWidth="1"/>
    <col min="19" max="20" width="17.7109375" style="1824" customWidth="1"/>
    <col min="21" max="21" width="9.7109375" style="1824" customWidth="1"/>
    <col min="22" max="22" width="12.7109375" style="1824" customWidth="1"/>
    <col min="23" max="23" width="9.7109375" style="1824" customWidth="1"/>
    <col min="24" max="24" width="21.7109375" style="1824" customWidth="1"/>
    <col min="25" max="25" width="12.7109375" style="1824" customWidth="1"/>
    <col min="26" max="26" width="3.28515625" style="1824" customWidth="1"/>
    <col min="27" max="27" width="7.140625" style="1824" customWidth="1"/>
    <col min="28" max="28" width="38.42578125" style="1824" customWidth="1"/>
    <col min="29" max="29" width="15.7109375" style="1824" customWidth="1"/>
    <col min="30" max="30" width="37.5703125" style="4083" customWidth="1"/>
    <col min="31" max="31" width="15.7109375" style="1824" customWidth="1"/>
    <col min="32" max="33" width="16.7109375" style="1824" customWidth="1"/>
    <col min="34" max="34" width="16.7109375" style="4084" customWidth="1"/>
    <col min="35" max="35" width="16.7109375" style="4085" customWidth="1"/>
    <col min="36" max="37" width="16.7109375" style="1824" customWidth="1"/>
    <col min="38" max="58" width="9.140625" style="1824"/>
  </cols>
  <sheetData>
    <row r="1" spans="1:58" s="1825" customFormat="1" ht="10.5" hidden="1" customHeight="1">
      <c r="A1" s="809"/>
      <c r="B1" s="809"/>
      <c r="C1" s="809"/>
      <c r="E1" s="463"/>
      <c r="H1" s="1061"/>
      <c r="L1" s="1031"/>
      <c r="M1" s="1031"/>
      <c r="AD1" s="1031"/>
      <c r="AH1" s="1048"/>
      <c r="AI1" s="1042"/>
    </row>
    <row r="2" spans="1:58" ht="10.5" hidden="1" customHeight="1"/>
    <row r="3" spans="1:58" s="1932" customFormat="1" ht="10.5" hidden="1" customHeight="1">
      <c r="A3" s="809"/>
      <c r="B3" s="809"/>
      <c r="C3" s="809"/>
      <c r="D3" s="352"/>
      <c r="E3" s="290"/>
      <c r="H3" s="1057"/>
      <c r="L3" s="1029"/>
      <c r="M3" s="1029"/>
      <c r="AD3" s="1029"/>
      <c r="AH3" s="1046"/>
      <c r="AI3" s="1040"/>
    </row>
    <row r="4" spans="1:58" ht="3" customHeight="1"/>
    <row r="5" spans="1:58" ht="25.5" customHeight="1">
      <c r="F5" s="4743" t="str">
        <f>IP_NAME_FORM</f>
        <v>Форма 7. Информация об инвестиционных программах организации водоотведения и отчетах об их исполнении</v>
      </c>
      <c r="G5" s="4743"/>
      <c r="H5" s="4743"/>
      <c r="I5" s="4743"/>
      <c r="J5" s="4743"/>
      <c r="K5" s="4743"/>
      <c r="L5" s="1038"/>
      <c r="M5" s="1038"/>
      <c r="AG5" s="820"/>
      <c r="AH5" s="1049"/>
    </row>
    <row r="6" spans="1:58" ht="10.5" customHeight="1">
      <c r="F6" s="4690" t="str">
        <f>IF(org=0,"Не определено",org)</f>
        <v>ОГКП "Ульяновский областной водоканал"</v>
      </c>
      <c r="G6" s="4690"/>
      <c r="H6" s="4690"/>
      <c r="I6" s="4690"/>
      <c r="J6" s="4690"/>
      <c r="K6" s="4690"/>
      <c r="L6" s="1039"/>
      <c r="M6" s="1039"/>
    </row>
    <row r="7" spans="1:58" ht="11.25" customHeight="1">
      <c r="E7" s="822"/>
      <c r="F7" s="833"/>
      <c r="G7" s="833"/>
      <c r="H7" s="1087"/>
      <c r="I7" s="833"/>
      <c r="J7" s="833"/>
      <c r="K7" s="835"/>
      <c r="L7" s="1036"/>
      <c r="M7" s="1036"/>
      <c r="N7" s="833"/>
      <c r="O7" s="833"/>
      <c r="P7" s="833"/>
      <c r="Q7" s="835"/>
      <c r="R7" s="833"/>
      <c r="S7" s="833"/>
      <c r="T7" s="833"/>
      <c r="U7" s="833"/>
      <c r="V7" s="833"/>
      <c r="W7" s="833"/>
      <c r="X7" s="833"/>
      <c r="Y7" s="833"/>
      <c r="Z7" s="833"/>
      <c r="AA7" s="833"/>
      <c r="AB7" s="833"/>
      <c r="AC7" s="834"/>
      <c r="AD7" s="1035"/>
      <c r="AE7" s="834"/>
      <c r="AF7" s="833"/>
      <c r="AG7" s="833"/>
      <c r="AH7" s="1051"/>
      <c r="AI7" s="1045"/>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4866" t="s">
        <v>439</v>
      </c>
      <c r="G8" s="4867"/>
      <c r="H8" s="4867"/>
      <c r="I8" s="4867"/>
      <c r="J8" s="4867"/>
      <c r="K8" s="4867"/>
      <c r="L8" s="4867"/>
      <c r="M8" s="4867"/>
      <c r="N8" s="4867"/>
      <c r="O8" s="4867"/>
      <c r="P8" s="4867"/>
      <c r="Q8" s="4867"/>
      <c r="R8" s="4867"/>
      <c r="S8" s="4867"/>
      <c r="T8" s="4867"/>
      <c r="U8" s="4867"/>
      <c r="V8" s="4867"/>
      <c r="W8" s="4867"/>
      <c r="X8" s="4867"/>
      <c r="Y8" s="4867"/>
      <c r="Z8" s="4867"/>
      <c r="AA8" s="4867"/>
      <c r="AB8" s="4867"/>
      <c r="AC8" s="4867"/>
      <c r="AD8" s="4867"/>
      <c r="AE8" s="4867"/>
      <c r="AF8" s="4867"/>
      <c r="AG8" s="4867"/>
      <c r="AH8" s="4867"/>
      <c r="AI8" s="4867"/>
      <c r="AJ8" s="4867"/>
      <c r="AK8" s="4868"/>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4719" t="s">
        <v>1035</v>
      </c>
      <c r="G9" s="4805" t="s">
        <v>1036</v>
      </c>
      <c r="H9" s="4864"/>
      <c r="I9" s="4627" t="s">
        <v>1037</v>
      </c>
      <c r="J9" s="4627"/>
      <c r="K9" s="4627" t="s">
        <v>1038</v>
      </c>
      <c r="L9" s="4627"/>
      <c r="M9" s="4627"/>
      <c r="N9" s="4627"/>
      <c r="O9" s="4627"/>
      <c r="P9" s="4627"/>
      <c r="Q9" s="4627"/>
      <c r="R9" s="4627"/>
      <c r="S9" s="4627"/>
      <c r="T9" s="4627"/>
      <c r="U9" s="4627"/>
      <c r="V9" s="4627"/>
      <c r="W9" s="4627"/>
      <c r="X9" s="4627"/>
      <c r="Y9" s="4627"/>
      <c r="Z9" s="4704" t="s">
        <v>1039</v>
      </c>
      <c r="AA9" s="4705"/>
      <c r="AB9" s="4627" t="s">
        <v>1040</v>
      </c>
      <c r="AC9" s="4627"/>
      <c r="AD9" s="4627"/>
      <c r="AE9" s="4627"/>
      <c r="AF9" s="4689" t="s">
        <v>1041</v>
      </c>
      <c r="AG9" s="4627" t="s">
        <v>1042</v>
      </c>
      <c r="AH9" s="4627"/>
      <c r="AI9" s="4689" t="s">
        <v>1043</v>
      </c>
      <c r="AJ9" s="4627" t="s">
        <v>1044</v>
      </c>
      <c r="AK9" s="4627"/>
      <c r="AL9" s="1044"/>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4719"/>
      <c r="G10" s="4806"/>
      <c r="H10" s="4720"/>
      <c r="I10" s="4627"/>
      <c r="J10" s="4627"/>
      <c r="K10" s="4627" t="s">
        <v>1045</v>
      </c>
      <c r="L10" s="4598" t="s">
        <v>1046</v>
      </c>
      <c r="M10" s="4597"/>
      <c r="N10" s="4627" t="s">
        <v>1047</v>
      </c>
      <c r="O10" s="4627"/>
      <c r="P10" s="4627"/>
      <c r="Q10" s="4627"/>
      <c r="R10" s="4627"/>
      <c r="S10" s="4627"/>
      <c r="T10" s="4627"/>
      <c r="U10" s="4627"/>
      <c r="V10" s="4627"/>
      <c r="W10" s="4627"/>
      <c r="X10" s="4627"/>
      <c r="Y10" s="4627"/>
      <c r="Z10" s="4706"/>
      <c r="AA10" s="4707"/>
      <c r="AB10" s="4627"/>
      <c r="AC10" s="4627"/>
      <c r="AD10" s="4627"/>
      <c r="AE10" s="4627"/>
      <c r="AF10" s="4708"/>
      <c r="AG10" s="4627"/>
      <c r="AH10" s="4627"/>
      <c r="AI10" s="4708"/>
      <c r="AJ10" s="4627"/>
      <c r="AK10" s="4627"/>
      <c r="AL10" s="1044"/>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4083" customFormat="1" ht="23.25" customHeight="1">
      <c r="A11" s="1032"/>
      <c r="B11" s="1032"/>
      <c r="C11" s="1032"/>
      <c r="D11" s="1031"/>
      <c r="E11" s="1033"/>
      <c r="F11" s="4719"/>
      <c r="G11" s="4806"/>
      <c r="H11" s="4720"/>
      <c r="I11" s="4627"/>
      <c r="J11" s="4627"/>
      <c r="K11" s="4627"/>
      <c r="L11" s="4689" t="s">
        <v>1048</v>
      </c>
      <c r="M11" s="4689" t="s">
        <v>1049</v>
      </c>
      <c r="N11" s="4627" t="s">
        <v>1050</v>
      </c>
      <c r="O11" s="4627"/>
      <c r="P11" s="4655" t="s">
        <v>1031</v>
      </c>
      <c r="Q11" s="4655" t="s">
        <v>1051</v>
      </c>
      <c r="R11" s="4655" t="s">
        <v>1052</v>
      </c>
      <c r="S11" s="4655" t="s">
        <v>1053</v>
      </c>
      <c r="T11" s="4655"/>
      <c r="U11" s="4655"/>
      <c r="V11" s="4655"/>
      <c r="W11" s="4655"/>
      <c r="X11" s="4655"/>
      <c r="Y11" s="4655"/>
      <c r="Z11" s="4706"/>
      <c r="AA11" s="4707"/>
      <c r="AB11" s="4627" t="s">
        <v>1054</v>
      </c>
      <c r="AC11" s="4627"/>
      <c r="AD11" s="4598" t="s">
        <v>1055</v>
      </c>
      <c r="AE11" s="4597"/>
      <c r="AF11" s="4708"/>
      <c r="AG11" s="4627"/>
      <c r="AH11" s="4627"/>
      <c r="AI11" s="4708"/>
      <c r="AJ11" s="4627"/>
      <c r="AK11" s="4627"/>
      <c r="AL11" s="1044"/>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row>
    <row r="12" spans="1:58" ht="33.75" customHeight="1">
      <c r="A12" s="819"/>
      <c r="B12" s="819"/>
      <c r="C12" s="819"/>
      <c r="E12" s="822"/>
      <c r="F12" s="4719"/>
      <c r="G12" s="4807"/>
      <c r="H12" s="4865"/>
      <c r="I12" s="1054" t="s">
        <v>87</v>
      </c>
      <c r="J12" s="1054" t="s">
        <v>1056</v>
      </c>
      <c r="K12" s="4627"/>
      <c r="L12" s="4738"/>
      <c r="M12" s="4738"/>
      <c r="N12" s="4627"/>
      <c r="O12" s="4627"/>
      <c r="P12" s="4655"/>
      <c r="Q12" s="4655"/>
      <c r="R12" s="4655"/>
      <c r="S12" s="1037" t="s">
        <v>84</v>
      </c>
      <c r="T12" s="1037" t="s">
        <v>85</v>
      </c>
      <c r="U12" s="1037" t="s">
        <v>83</v>
      </c>
      <c r="V12" s="1037" t="s">
        <v>1057</v>
      </c>
      <c r="W12" s="1037" t="s">
        <v>83</v>
      </c>
      <c r="X12" s="1037" t="s">
        <v>1058</v>
      </c>
      <c r="Y12" s="1037" t="s">
        <v>1059</v>
      </c>
      <c r="Z12" s="4709"/>
      <c r="AA12" s="4710"/>
      <c r="AB12" s="1043" t="s">
        <v>1060</v>
      </c>
      <c r="AC12" s="1043" t="s">
        <v>1061</v>
      </c>
      <c r="AD12" s="1043" t="s">
        <v>1060</v>
      </c>
      <c r="AE12" s="1043" t="s">
        <v>1061</v>
      </c>
      <c r="AF12" s="4738"/>
      <c r="AG12" s="1055" t="s">
        <v>1062</v>
      </c>
      <c r="AH12" s="1055" t="s">
        <v>1063</v>
      </c>
      <c r="AI12" s="4738"/>
      <c r="AJ12" s="1055" t="s">
        <v>1062</v>
      </c>
      <c r="AK12" s="1055" t="s">
        <v>1063</v>
      </c>
      <c r="AL12" s="1044"/>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28">
        <v>0</v>
      </c>
      <c r="G13" s="1028"/>
      <c r="H13" s="1028"/>
      <c r="I13" s="1028"/>
      <c r="J13" s="1028"/>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50"/>
      <c r="AI13" s="1044"/>
      <c r="AJ13" s="1034"/>
      <c r="AK13" s="1034"/>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4"/>
      <c r="I14" s="832"/>
      <c r="J14" s="832"/>
      <c r="K14" s="832"/>
      <c r="L14" s="1034"/>
      <c r="M14" s="1034"/>
      <c r="N14" s="832"/>
      <c r="O14" s="832"/>
      <c r="P14" s="832"/>
      <c r="Q14" s="832"/>
      <c r="R14" s="832"/>
      <c r="S14" s="832"/>
      <c r="T14" s="832"/>
      <c r="U14" s="832"/>
      <c r="V14" s="832"/>
      <c r="W14" s="832"/>
      <c r="X14" s="832"/>
      <c r="Y14" s="832"/>
      <c r="Z14" s="832"/>
      <c r="AA14" s="832"/>
      <c r="AB14" s="832"/>
      <c r="AC14" s="832"/>
      <c r="AD14" s="1034"/>
      <c r="AE14" s="832"/>
      <c r="AF14" s="832"/>
      <c r="AG14" s="832"/>
      <c r="AH14" s="1050"/>
      <c r="AI14" s="1044"/>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1064</v>
      </c>
      <c r="G15" s="828"/>
      <c r="H15" s="1073"/>
      <c r="I15" s="828"/>
      <c r="J15" s="828"/>
      <c r="K15" s="825"/>
      <c r="L15" s="1030"/>
      <c r="M15" s="1030"/>
      <c r="N15" s="827"/>
      <c r="O15" s="827"/>
      <c r="P15" s="827"/>
      <c r="Q15" s="827"/>
      <c r="R15" s="827"/>
      <c r="S15" s="827"/>
      <c r="T15" s="827"/>
      <c r="U15" s="827"/>
      <c r="V15" s="827"/>
      <c r="W15" s="827"/>
      <c r="X15" s="827"/>
      <c r="Y15" s="827"/>
      <c r="Z15" s="825"/>
      <c r="AA15" s="825"/>
      <c r="AB15" s="825"/>
      <c r="AC15" s="825"/>
      <c r="AD15" s="1030"/>
      <c r="AE15" s="825"/>
      <c r="AF15" s="825"/>
      <c r="AG15" s="825"/>
      <c r="AH15" s="1047"/>
      <c r="AI15" s="1041"/>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4863"/>
      <c r="G17" s="4863"/>
      <c r="H17" s="4863"/>
      <c r="I17" s="4863"/>
      <c r="J17" s="4863"/>
      <c r="K17" s="825"/>
      <c r="L17" s="1030"/>
      <c r="M17" s="1030"/>
      <c r="N17" s="827"/>
      <c r="O17" s="827"/>
      <c r="P17" s="827"/>
      <c r="Q17" s="827"/>
      <c r="R17" s="827"/>
      <c r="S17" s="827"/>
      <c r="T17" s="827"/>
      <c r="U17" s="827"/>
      <c r="V17" s="827"/>
      <c r="W17" s="827"/>
      <c r="X17" s="827"/>
      <c r="Y17" s="827"/>
      <c r="Z17" s="825"/>
      <c r="AA17" s="825"/>
      <c r="AB17" s="825"/>
      <c r="AC17" s="825"/>
      <c r="AD17" s="1030"/>
      <c r="AE17" s="825"/>
      <c r="AF17" s="825"/>
      <c r="AG17" s="825"/>
      <c r="AH17" s="1047"/>
      <c r="AI17" s="1041"/>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4863"/>
      <c r="G18" s="4863"/>
      <c r="H18" s="4863"/>
      <c r="I18" s="4863"/>
      <c r="J18" s="4863"/>
      <c r="K18" s="825"/>
      <c r="L18" s="1030"/>
      <c r="M18" s="1030"/>
      <c r="N18" s="827"/>
      <c r="O18" s="827"/>
      <c r="P18" s="827"/>
      <c r="Q18" s="827"/>
      <c r="R18" s="827"/>
      <c r="S18" s="827"/>
      <c r="T18" s="827"/>
      <c r="U18" s="827"/>
      <c r="V18" s="827"/>
      <c r="W18" s="827"/>
      <c r="X18" s="827"/>
      <c r="Y18" s="827"/>
      <c r="Z18" s="825"/>
      <c r="AA18" s="825"/>
      <c r="AB18" s="825"/>
      <c r="AC18" s="825"/>
      <c r="AD18" s="1030"/>
      <c r="AE18" s="825"/>
      <c r="AF18" s="825"/>
      <c r="AG18" s="825"/>
      <c r="AH18" s="1047"/>
      <c r="AI18" s="1041"/>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4863"/>
      <c r="G19" s="4863"/>
      <c r="H19" s="4863"/>
      <c r="I19" s="4863"/>
      <c r="J19" s="4863"/>
      <c r="K19" s="825"/>
      <c r="L19" s="1030"/>
      <c r="M19" s="1030"/>
      <c r="N19" s="827"/>
      <c r="O19" s="827"/>
      <c r="P19" s="827"/>
      <c r="Q19" s="827"/>
      <c r="R19" s="827"/>
      <c r="S19" s="827"/>
      <c r="T19" s="827"/>
      <c r="U19" s="827"/>
      <c r="V19" s="827"/>
      <c r="W19" s="827"/>
      <c r="X19" s="827"/>
      <c r="Y19" s="827"/>
      <c r="Z19" s="825"/>
      <c r="AA19" s="825"/>
      <c r="AB19" s="825"/>
      <c r="AC19" s="825"/>
      <c r="AD19" s="1030"/>
      <c r="AE19" s="825"/>
      <c r="AF19" s="825"/>
      <c r="AG19" s="825"/>
      <c r="AH19" s="1047"/>
      <c r="AI19" s="1041"/>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V58"/>
  <sheetViews>
    <sheetView showGridLines="0" topLeftCell="E4" zoomScale="85" workbookViewId="0"/>
  </sheetViews>
  <sheetFormatPr defaultColWidth="9.140625" defaultRowHeight="10.5" customHeight="1"/>
  <cols>
    <col min="1" max="3" width="4.140625" style="4082" hidden="1" customWidth="1"/>
    <col min="4" max="4" width="4.140625" style="1835" hidden="1" customWidth="1"/>
    <col min="5" max="5" width="3.7109375" style="1826" customWidth="1"/>
    <col min="6" max="6" width="6.28515625" style="1921" customWidth="1"/>
    <col min="7" max="7" width="60.140625" style="1921" customWidth="1"/>
    <col min="8" max="9" width="21.7109375" style="1921" hidden="1" customWidth="1"/>
    <col min="10" max="10" width="0.140625" style="1921" customWidth="1"/>
    <col min="11" max="11" width="1.7109375" style="1921" customWidth="1"/>
    <col min="12" max="22" width="9.140625" style="1921"/>
  </cols>
  <sheetData>
    <row r="1" spans="1:22" s="1835" customFormat="1" ht="10.5" hidden="1" customHeight="1">
      <c r="A1" s="1067"/>
      <c r="B1" s="1067"/>
      <c r="C1" s="1067"/>
      <c r="E1" s="463"/>
    </row>
    <row r="2" spans="1:22" ht="10.5" hidden="1" customHeight="1"/>
    <row r="3" spans="1:22" s="1920" customFormat="1" ht="10.5" hidden="1" customHeight="1">
      <c r="A3" s="1067"/>
      <c r="B3" s="1067"/>
      <c r="C3" s="1067"/>
      <c r="D3" s="1061"/>
      <c r="E3" s="290"/>
    </row>
    <row r="4" spans="1:22" ht="3" customHeight="1"/>
    <row r="5" spans="1:22" ht="25.5" customHeight="1">
      <c r="F5" s="474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4743"/>
      <c r="H5" s="4743"/>
      <c r="I5" s="4743"/>
      <c r="J5" s="4743"/>
    </row>
    <row r="6" spans="1:22" ht="10.5" customHeight="1">
      <c r="F6" s="4690" t="str">
        <f>IF(org=0,"Не определено",org)</f>
        <v>ОГКП "Ульяновский областной водоканал"</v>
      </c>
      <c r="G6" s="4690"/>
      <c r="H6" s="4690"/>
      <c r="I6" s="4690"/>
      <c r="J6" s="4690"/>
    </row>
    <row r="7" spans="1:22" ht="11.25" customHeight="1">
      <c r="E7" s="1071"/>
      <c r="F7" s="1137"/>
      <c r="G7" s="1137"/>
      <c r="H7" s="1137"/>
      <c r="I7" s="1137"/>
      <c r="J7" s="1137"/>
      <c r="K7" s="1058"/>
      <c r="L7" s="1058"/>
      <c r="M7" s="1058"/>
      <c r="N7" s="1058"/>
      <c r="O7" s="1058"/>
      <c r="P7" s="1058"/>
      <c r="Q7" s="1058"/>
      <c r="R7" s="1058"/>
      <c r="S7" s="1058"/>
      <c r="T7" s="1058"/>
      <c r="U7" s="1058"/>
      <c r="V7" s="1058"/>
    </row>
    <row r="8" spans="1:22" s="1821" customFormat="1" ht="5.25" customHeight="1">
      <c r="A8" s="1068"/>
      <c r="B8" s="1068"/>
      <c r="C8" s="1068"/>
      <c r="E8" s="1138"/>
      <c r="F8" s="1139"/>
      <c r="G8" s="1139"/>
      <c r="H8" s="1139"/>
      <c r="I8" s="1139"/>
      <c r="J8" s="1139"/>
      <c r="K8" s="1138"/>
      <c r="L8" s="1138"/>
      <c r="M8" s="1138"/>
      <c r="N8" s="1138"/>
      <c r="O8" s="1138"/>
      <c r="P8" s="1138"/>
      <c r="Q8" s="1138"/>
      <c r="R8" s="1138"/>
      <c r="S8" s="1138"/>
      <c r="T8" s="1138"/>
      <c r="U8" s="1138"/>
      <c r="V8" s="1138"/>
    </row>
    <row r="9" spans="1:22" ht="10.5" customHeight="1">
      <c r="E9" s="1071"/>
      <c r="F9" s="4869" t="s">
        <v>439</v>
      </c>
      <c r="G9" s="4870"/>
      <c r="H9" s="4870"/>
      <c r="I9" s="4870"/>
      <c r="J9" s="4870"/>
      <c r="K9" s="1150"/>
      <c r="L9" s="1058"/>
      <c r="M9" s="1058"/>
      <c r="N9" s="1058"/>
      <c r="O9" s="1058"/>
      <c r="P9" s="1058"/>
      <c r="Q9" s="1058"/>
      <c r="R9" s="1058"/>
      <c r="S9" s="1058"/>
      <c r="T9" s="1058"/>
      <c r="U9" s="1058"/>
      <c r="V9" s="1058"/>
    </row>
    <row r="10" spans="1:22" ht="24" customHeight="1">
      <c r="E10" s="1058"/>
      <c r="F10" s="4873" t="s">
        <v>86</v>
      </c>
      <c r="G10" s="4877" t="s">
        <v>1065</v>
      </c>
      <c r="H10" s="4859" t="s">
        <v>1066</v>
      </c>
      <c r="I10" s="4859"/>
      <c r="J10" s="4859"/>
      <c r="K10" s="1143"/>
      <c r="L10" s="1058"/>
      <c r="M10" s="1058"/>
      <c r="N10" s="1058"/>
      <c r="O10" s="1058"/>
      <c r="P10" s="1058"/>
      <c r="Q10" s="1058"/>
      <c r="R10" s="1058"/>
      <c r="S10" s="1058"/>
      <c r="T10" s="1058"/>
      <c r="U10" s="1058"/>
      <c r="V10" s="1058"/>
    </row>
    <row r="11" spans="1:22" ht="24" customHeight="1">
      <c r="E11" s="1058"/>
      <c r="F11" s="4874"/>
      <c r="G11" s="4877"/>
      <c r="H11" s="4876" t="e">
        <f>INDEX(IP_MAIN_LIST_NAME_IP,MATCH(H8,IP_MAIN_LIST_IP_ID,0))&amp;" ("&amp;INDEX(IP_MAIN_START_DATE,MATCH(H8,IP_MAIN_LIST_IP_ID,0))&amp;"-"&amp;INDEX(IP_MAIN_END_DATE,MATCH(H8,IP_MAIN_LIST_IP_ID,0))&amp;")"</f>
        <v>#N/A</v>
      </c>
      <c r="I11" s="4876"/>
      <c r="J11" s="4876"/>
      <c r="K11" s="1143"/>
      <c r="L11" s="1058"/>
      <c r="M11" s="1058"/>
      <c r="N11" s="1058"/>
      <c r="O11" s="1058"/>
      <c r="P11" s="1058"/>
      <c r="Q11" s="1058"/>
      <c r="R11" s="1058"/>
      <c r="S11" s="1058"/>
      <c r="T11" s="1058"/>
      <c r="U11" s="1058"/>
      <c r="V11" s="1058"/>
    </row>
    <row r="12" spans="1:22" ht="10.5" customHeight="1">
      <c r="F12" s="4875"/>
      <c r="G12" s="4877"/>
      <c r="H12" s="1136" t="s">
        <v>1067</v>
      </c>
      <c r="I12" s="1142"/>
      <c r="J12" s="1136"/>
      <c r="K12" s="1144"/>
    </row>
    <row r="13" spans="1:22" ht="10.5" hidden="1" customHeight="1">
      <c r="F13" s="1136">
        <v>1</v>
      </c>
      <c r="G13" s="1136">
        <v>2</v>
      </c>
      <c r="H13" s="1136">
        <v>3</v>
      </c>
      <c r="I13" s="1136">
        <v>4</v>
      </c>
      <c r="J13" s="1136">
        <v>5</v>
      </c>
      <c r="K13" s="1144"/>
    </row>
    <row r="14" spans="1:22" ht="11.25" customHeight="1">
      <c r="F14" s="1135" t="s">
        <v>1068</v>
      </c>
      <c r="G14" s="4871" t="s">
        <v>1069</v>
      </c>
      <c r="H14" s="4871"/>
      <c r="I14" s="4871"/>
      <c r="J14" s="4871"/>
      <c r="K14" s="1144"/>
    </row>
    <row r="15" spans="1:22" ht="11.25" customHeight="1">
      <c r="F15" s="1140">
        <v>1</v>
      </c>
      <c r="G15" s="611" t="s">
        <v>1070</v>
      </c>
      <c r="H15" s="1146">
        <f t="shared" ref="H15:H36" si="0">SUM(I15:J15)</f>
        <v>0</v>
      </c>
      <c r="I15" s="1146">
        <f>SUM(I16:I27)</f>
        <v>0</v>
      </c>
      <c r="J15" s="1135"/>
      <c r="K15" s="1144"/>
    </row>
    <row r="16" spans="1:22" ht="22.5" customHeight="1">
      <c r="F16" s="1140" t="s">
        <v>1071</v>
      </c>
      <c r="G16" s="1147" t="s">
        <v>1072</v>
      </c>
      <c r="H16" s="1146">
        <f t="shared" si="0"/>
        <v>0</v>
      </c>
      <c r="I16" s="1145"/>
      <c r="J16" s="1135"/>
      <c r="K16" s="1144"/>
    </row>
    <row r="17" spans="6:11" ht="22.5" customHeight="1">
      <c r="F17" s="1140" t="s">
        <v>1073</v>
      </c>
      <c r="G17" s="1147" t="s">
        <v>1074</v>
      </c>
      <c r="H17" s="1146">
        <f t="shared" si="0"/>
        <v>0</v>
      </c>
      <c r="I17" s="1145"/>
      <c r="J17" s="1135"/>
      <c r="K17" s="1144"/>
    </row>
    <row r="18" spans="6:11" ht="33.75" customHeight="1">
      <c r="F18" s="1140" t="s">
        <v>1075</v>
      </c>
      <c r="G18" s="1147" t="s">
        <v>1076</v>
      </c>
      <c r="H18" s="1146">
        <f t="shared" si="0"/>
        <v>0</v>
      </c>
      <c r="I18" s="1145"/>
      <c r="J18" s="1135"/>
      <c r="K18" s="1144"/>
    </row>
    <row r="19" spans="6:11" ht="33.75" customHeight="1">
      <c r="F19" s="1140" t="s">
        <v>1077</v>
      </c>
      <c r="G19" s="1147" t="s">
        <v>1078</v>
      </c>
      <c r="H19" s="1146">
        <f t="shared" si="0"/>
        <v>0</v>
      </c>
      <c r="I19" s="1145"/>
      <c r="J19" s="1135"/>
      <c r="K19" s="1144"/>
    </row>
    <row r="20" spans="6:11" ht="45" customHeight="1">
      <c r="F20" s="1140" t="s">
        <v>1079</v>
      </c>
      <c r="G20" s="1147" t="s">
        <v>1080</v>
      </c>
      <c r="H20" s="1146">
        <f t="shared" si="0"/>
        <v>0</v>
      </c>
      <c r="I20" s="1145"/>
      <c r="J20" s="1135"/>
      <c r="K20" s="1144"/>
    </row>
    <row r="21" spans="6:11" ht="33.75" customHeight="1">
      <c r="F21" s="1140" t="s">
        <v>1081</v>
      </c>
      <c r="G21" s="1147" t="s">
        <v>1082</v>
      </c>
      <c r="H21" s="1146">
        <f t="shared" si="0"/>
        <v>0</v>
      </c>
      <c r="I21" s="1145"/>
      <c r="J21" s="1135"/>
      <c r="K21" s="1144"/>
    </row>
    <row r="22" spans="6:11" ht="33.75" customHeight="1">
      <c r="F22" s="1140" t="s">
        <v>1083</v>
      </c>
      <c r="G22" s="1147" t="s">
        <v>1084</v>
      </c>
      <c r="H22" s="1146">
        <f t="shared" si="0"/>
        <v>0</v>
      </c>
      <c r="I22" s="1145"/>
      <c r="J22" s="1135"/>
      <c r="K22" s="1144"/>
    </row>
    <row r="23" spans="6:11" ht="22.5" customHeight="1">
      <c r="F23" s="1140" t="s">
        <v>1085</v>
      </c>
      <c r="G23" s="1147" t="s">
        <v>1086</v>
      </c>
      <c r="H23" s="1146">
        <f t="shared" si="0"/>
        <v>0</v>
      </c>
      <c r="I23" s="1145"/>
      <c r="J23" s="1135"/>
      <c r="K23" s="1144"/>
    </row>
    <row r="24" spans="6:11" ht="22.5" customHeight="1">
      <c r="F24" s="1140" t="s">
        <v>1087</v>
      </c>
      <c r="G24" s="1147" t="s">
        <v>1088</v>
      </c>
      <c r="H24" s="1146">
        <f t="shared" si="0"/>
        <v>0</v>
      </c>
      <c r="I24" s="1145"/>
      <c r="J24" s="1135"/>
      <c r="K24" s="1144"/>
    </row>
    <row r="25" spans="6:11" ht="33.75" customHeight="1">
      <c r="F25" s="1140" t="s">
        <v>1089</v>
      </c>
      <c r="G25" s="1147" t="s">
        <v>1090</v>
      </c>
      <c r="H25" s="1146">
        <f t="shared" si="0"/>
        <v>0</v>
      </c>
      <c r="I25" s="1145"/>
      <c r="J25" s="1135"/>
      <c r="K25" s="1144"/>
    </row>
    <row r="26" spans="6:11" ht="33.75" customHeight="1">
      <c r="F26" s="1140" t="s">
        <v>1091</v>
      </c>
      <c r="G26" s="1147" t="s">
        <v>1092</v>
      </c>
      <c r="H26" s="1146">
        <f t="shared" si="0"/>
        <v>0</v>
      </c>
      <c r="I26" s="1145"/>
      <c r="J26" s="1135"/>
      <c r="K26" s="1144"/>
    </row>
    <row r="27" spans="6:11" ht="11.25" customHeight="1">
      <c r="F27" s="1140" t="s">
        <v>1093</v>
      </c>
      <c r="G27" s="1147" t="s">
        <v>1094</v>
      </c>
      <c r="H27" s="1146">
        <f t="shared" si="0"/>
        <v>0</v>
      </c>
      <c r="I27" s="1145"/>
      <c r="J27" s="1135"/>
      <c r="K27" s="1144"/>
    </row>
    <row r="28" spans="6:11" ht="11.25" customHeight="1">
      <c r="F28" s="1140">
        <v>2</v>
      </c>
      <c r="G28" s="611" t="s">
        <v>1095</v>
      </c>
      <c r="H28" s="1146">
        <f t="shared" si="0"/>
        <v>0</v>
      </c>
      <c r="I28" s="1146">
        <f>SUM(I29:I31)</f>
        <v>0</v>
      </c>
      <c r="J28" s="1135"/>
      <c r="K28" s="1144"/>
    </row>
    <row r="29" spans="6:11" ht="11.25" customHeight="1">
      <c r="F29" s="1140" t="s">
        <v>757</v>
      </c>
      <c r="G29" s="1147" t="s">
        <v>1096</v>
      </c>
      <c r="H29" s="1146">
        <f t="shared" si="0"/>
        <v>0</v>
      </c>
      <c r="I29" s="1145"/>
      <c r="J29" s="1135"/>
      <c r="K29" s="1144"/>
    </row>
    <row r="30" spans="6:11" ht="11.25" customHeight="1">
      <c r="F30" s="1140" t="s">
        <v>446</v>
      </c>
      <c r="G30" s="1147" t="s">
        <v>1097</v>
      </c>
      <c r="H30" s="1146">
        <f t="shared" si="0"/>
        <v>0</v>
      </c>
      <c r="I30" s="1145"/>
      <c r="J30" s="1135"/>
      <c r="K30" s="1144"/>
    </row>
    <row r="31" spans="6:11" ht="11.25" customHeight="1">
      <c r="F31" s="1140" t="s">
        <v>449</v>
      </c>
      <c r="G31" s="1147" t="s">
        <v>1098</v>
      </c>
      <c r="H31" s="1146">
        <f t="shared" si="0"/>
        <v>0</v>
      </c>
      <c r="I31" s="1145"/>
      <c r="J31" s="1135"/>
      <c r="K31" s="1144"/>
    </row>
    <row r="32" spans="6:11" ht="11.25" customHeight="1">
      <c r="F32" s="1140">
        <v>3</v>
      </c>
      <c r="G32" s="611" t="s">
        <v>1099</v>
      </c>
      <c r="H32" s="1146">
        <f t="shared" si="0"/>
        <v>0</v>
      </c>
      <c r="I32" s="1146">
        <f>SUM(I33:I34)</f>
        <v>0</v>
      </c>
      <c r="J32" s="1135"/>
      <c r="K32" s="1144"/>
    </row>
    <row r="33" spans="6:11" ht="33.75" customHeight="1">
      <c r="F33" s="1140" t="s">
        <v>465</v>
      </c>
      <c r="G33" s="1147" t="s">
        <v>1100</v>
      </c>
      <c r="H33" s="1146">
        <f t="shared" si="0"/>
        <v>0</v>
      </c>
      <c r="I33" s="1145"/>
      <c r="J33" s="1135"/>
      <c r="K33" s="1144"/>
    </row>
    <row r="34" spans="6:11" ht="11.25" customHeight="1">
      <c r="F34" s="1140" t="s">
        <v>473</v>
      </c>
      <c r="G34" s="1147" t="s">
        <v>1101</v>
      </c>
      <c r="H34" s="1146">
        <f t="shared" si="0"/>
        <v>0</v>
      </c>
      <c r="I34" s="1145"/>
      <c r="J34" s="1135"/>
      <c r="K34" s="1144"/>
    </row>
    <row r="35" spans="6:11" ht="11.25" customHeight="1">
      <c r="F35" s="1140">
        <v>4</v>
      </c>
      <c r="G35" s="611" t="s">
        <v>1102</v>
      </c>
      <c r="H35" s="1146">
        <f t="shared" si="0"/>
        <v>0</v>
      </c>
      <c r="I35" s="1145"/>
      <c r="J35" s="1135"/>
      <c r="K35" s="1144"/>
    </row>
    <row r="36" spans="6:11" ht="11.25" customHeight="1">
      <c r="F36" s="1140"/>
      <c r="G36" s="614" t="s">
        <v>1103</v>
      </c>
      <c r="H36" s="1146">
        <f t="shared" si="0"/>
        <v>0</v>
      </c>
      <c r="I36" s="1146">
        <f>SUM(I15,I28,I32,I35)</f>
        <v>0</v>
      </c>
      <c r="J36" s="1135"/>
      <c r="K36" s="1144"/>
    </row>
    <row r="37" spans="6:11" ht="27.75" customHeight="1">
      <c r="F37" s="1141" t="s">
        <v>1104</v>
      </c>
      <c r="G37" s="4872" t="s">
        <v>1105</v>
      </c>
      <c r="H37" s="4872"/>
      <c r="I37" s="4872"/>
      <c r="J37" s="4872"/>
      <c r="K37" s="1144"/>
    </row>
    <row r="38" spans="6:11" ht="22.5" customHeight="1">
      <c r="F38" s="1140" t="s">
        <v>174</v>
      </c>
      <c r="G38" s="611" t="s">
        <v>1106</v>
      </c>
      <c r="H38" s="1146">
        <f t="shared" ref="H38:H58" si="1">SUM(I38:J38)</f>
        <v>0</v>
      </c>
      <c r="I38" s="1146">
        <f>SUM(I39,I44,I47)</f>
        <v>0</v>
      </c>
      <c r="J38" s="1135"/>
      <c r="K38" s="1144"/>
    </row>
    <row r="39" spans="6:11" ht="11.25" customHeight="1">
      <c r="F39" s="1140" t="s">
        <v>1071</v>
      </c>
      <c r="G39" s="1147" t="s">
        <v>1070</v>
      </c>
      <c r="H39" s="1146">
        <f t="shared" si="1"/>
        <v>0</v>
      </c>
      <c r="I39" s="1146">
        <f>SUM(I40:I43)</f>
        <v>0</v>
      </c>
      <c r="J39" s="1135"/>
      <c r="K39" s="1144"/>
    </row>
    <row r="40" spans="6:11" ht="22.5" customHeight="1">
      <c r="F40" s="1140" t="s">
        <v>1107</v>
      </c>
      <c r="G40" s="1148" t="s">
        <v>1108</v>
      </c>
      <c r="H40" s="1146">
        <f t="shared" si="1"/>
        <v>0</v>
      </c>
      <c r="I40" s="1145"/>
      <c r="J40" s="1135"/>
      <c r="K40" s="1144"/>
    </row>
    <row r="41" spans="6:11" ht="11.25" customHeight="1">
      <c r="F41" s="1140" t="s">
        <v>1109</v>
      </c>
      <c r="G41" s="1148" t="s">
        <v>1110</v>
      </c>
      <c r="H41" s="1146">
        <f t="shared" si="1"/>
        <v>0</v>
      </c>
      <c r="I41" s="1145"/>
      <c r="J41" s="1135"/>
      <c r="K41" s="1144"/>
    </row>
    <row r="42" spans="6:11" ht="11.25" customHeight="1">
      <c r="F42" s="1140" t="s">
        <v>1111</v>
      </c>
      <c r="G42" s="1148" t="s">
        <v>1112</v>
      </c>
      <c r="H42" s="1146">
        <f t="shared" si="1"/>
        <v>0</v>
      </c>
      <c r="I42" s="1145"/>
      <c r="J42" s="1135"/>
      <c r="K42" s="1144"/>
    </row>
    <row r="43" spans="6:11" ht="33.75" customHeight="1">
      <c r="F43" s="1140" t="s">
        <v>1113</v>
      </c>
      <c r="G43" s="1148" t="s">
        <v>1114</v>
      </c>
      <c r="H43" s="1146">
        <f t="shared" si="1"/>
        <v>0</v>
      </c>
      <c r="I43" s="1145"/>
      <c r="J43" s="1135"/>
      <c r="K43" s="1144"/>
    </row>
    <row r="44" spans="6:11" ht="11.25" customHeight="1">
      <c r="F44" s="1140" t="s">
        <v>1073</v>
      </c>
      <c r="G44" s="1147" t="s">
        <v>1099</v>
      </c>
      <c r="H44" s="1146">
        <f t="shared" si="1"/>
        <v>0</v>
      </c>
      <c r="I44" s="1146">
        <f>SUM(I45:I46)</f>
        <v>0</v>
      </c>
      <c r="J44" s="1135"/>
      <c r="K44" s="1144"/>
    </row>
    <row r="45" spans="6:11" ht="45" customHeight="1">
      <c r="F45" s="1140" t="s">
        <v>1115</v>
      </c>
      <c r="G45" s="1148" t="s">
        <v>1100</v>
      </c>
      <c r="H45" s="1146">
        <f t="shared" si="1"/>
        <v>0</v>
      </c>
      <c r="I45" s="1145"/>
      <c r="J45" s="1135"/>
      <c r="K45" s="1144"/>
    </row>
    <row r="46" spans="6:11" ht="11.25" customHeight="1">
      <c r="F46" s="1140" t="s">
        <v>1116</v>
      </c>
      <c r="G46" s="1148" t="s">
        <v>1101</v>
      </c>
      <c r="H46" s="1146">
        <f t="shared" si="1"/>
        <v>0</v>
      </c>
      <c r="I46" s="1145"/>
      <c r="J46" s="1135"/>
      <c r="K46" s="1144"/>
    </row>
    <row r="47" spans="6:11" ht="11.25" customHeight="1">
      <c r="F47" s="1140" t="s">
        <v>1075</v>
      </c>
      <c r="G47" s="1147" t="s">
        <v>1117</v>
      </c>
      <c r="H47" s="1146">
        <f t="shared" si="1"/>
        <v>0</v>
      </c>
      <c r="I47" s="1145"/>
      <c r="J47" s="1135"/>
      <c r="K47" s="1144"/>
    </row>
    <row r="48" spans="6:11" ht="22.5" customHeight="1">
      <c r="F48" s="1140" t="s">
        <v>101</v>
      </c>
      <c r="G48" s="611" t="s">
        <v>1118</v>
      </c>
      <c r="H48" s="1146">
        <f t="shared" si="1"/>
        <v>0</v>
      </c>
      <c r="I48" s="1146">
        <f>SUM(I49,I54,I57)</f>
        <v>0</v>
      </c>
      <c r="J48" s="1135"/>
      <c r="K48" s="1144"/>
    </row>
    <row r="49" spans="6:11" ht="11.25" customHeight="1">
      <c r="F49" s="1140" t="s">
        <v>757</v>
      </c>
      <c r="G49" s="1147" t="s">
        <v>1070</v>
      </c>
      <c r="H49" s="1146">
        <f t="shared" si="1"/>
        <v>0</v>
      </c>
      <c r="I49" s="1146">
        <f>SUM(I50:I53)</f>
        <v>0</v>
      </c>
      <c r="J49" s="1135"/>
      <c r="K49" s="1144"/>
    </row>
    <row r="50" spans="6:11" ht="22.5" customHeight="1">
      <c r="F50" s="1140" t="s">
        <v>760</v>
      </c>
      <c r="G50" s="1148" t="s">
        <v>1108</v>
      </c>
      <c r="H50" s="1146">
        <f t="shared" si="1"/>
        <v>0</v>
      </c>
      <c r="I50" s="1145"/>
      <c r="J50" s="1135"/>
      <c r="K50" s="1144"/>
    </row>
    <row r="51" spans="6:11" ht="11.25" customHeight="1">
      <c r="F51" s="1140" t="s">
        <v>763</v>
      </c>
      <c r="G51" s="1148" t="s">
        <v>1110</v>
      </c>
      <c r="H51" s="1146">
        <f t="shared" si="1"/>
        <v>0</v>
      </c>
      <c r="I51" s="1145"/>
      <c r="J51" s="1135"/>
      <c r="K51" s="1144"/>
    </row>
    <row r="52" spans="6:11" ht="11.25" customHeight="1">
      <c r="F52" s="1140" t="s">
        <v>1119</v>
      </c>
      <c r="G52" s="1148" t="s">
        <v>1112</v>
      </c>
      <c r="H52" s="1146">
        <f t="shared" si="1"/>
        <v>0</v>
      </c>
      <c r="I52" s="1145"/>
      <c r="J52" s="1135"/>
      <c r="K52" s="1144"/>
    </row>
    <row r="53" spans="6:11" ht="33.75" customHeight="1">
      <c r="F53" s="1140" t="s">
        <v>1120</v>
      </c>
      <c r="G53" s="1148" t="s">
        <v>1114</v>
      </c>
      <c r="H53" s="1146">
        <f t="shared" si="1"/>
        <v>0</v>
      </c>
      <c r="I53" s="1145"/>
      <c r="J53" s="1135"/>
      <c r="K53" s="1144"/>
    </row>
    <row r="54" spans="6:11" ht="11.25" customHeight="1">
      <c r="F54" s="1140" t="s">
        <v>446</v>
      </c>
      <c r="G54" s="1147" t="s">
        <v>1099</v>
      </c>
      <c r="H54" s="1146">
        <f t="shared" si="1"/>
        <v>0</v>
      </c>
      <c r="I54" s="1146">
        <f>SUM(I55:I56)</f>
        <v>0</v>
      </c>
      <c r="J54" s="1135"/>
      <c r="K54" s="1144"/>
    </row>
    <row r="55" spans="6:11" ht="45" customHeight="1">
      <c r="F55" s="1140" t="s">
        <v>767</v>
      </c>
      <c r="G55" s="1148" t="s">
        <v>1100</v>
      </c>
      <c r="H55" s="1146">
        <f t="shared" si="1"/>
        <v>0</v>
      </c>
      <c r="I55" s="1145"/>
      <c r="J55" s="1135"/>
      <c r="K55" s="1144"/>
    </row>
    <row r="56" spans="6:11" ht="11.25" customHeight="1">
      <c r="F56" s="1140" t="s">
        <v>769</v>
      </c>
      <c r="G56" s="1148" t="s">
        <v>1101</v>
      </c>
      <c r="H56" s="1146">
        <f t="shared" si="1"/>
        <v>0</v>
      </c>
      <c r="I56" s="1145"/>
      <c r="J56" s="1135"/>
      <c r="K56" s="1144"/>
    </row>
    <row r="57" spans="6:11" ht="11.25" customHeight="1">
      <c r="F57" s="1140" t="s">
        <v>449</v>
      </c>
      <c r="G57" s="1147" t="s">
        <v>1117</v>
      </c>
      <c r="H57" s="1146">
        <f t="shared" si="1"/>
        <v>0</v>
      </c>
      <c r="I57" s="1145"/>
      <c r="J57" s="1135"/>
      <c r="K57" s="1144"/>
    </row>
    <row r="58" spans="6:11" ht="11.25" customHeight="1">
      <c r="F58" s="1140"/>
      <c r="G58" s="1149" t="s">
        <v>1103</v>
      </c>
      <c r="H58" s="1146">
        <f t="shared" si="1"/>
        <v>0</v>
      </c>
      <c r="I58" s="1146">
        <f>SUM(I38,I48)</f>
        <v>0</v>
      </c>
      <c r="J58" s="1135"/>
      <c r="K58" s="114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GB24"/>
  <sheetViews>
    <sheetView showGridLines="0" topLeftCell="E4" zoomScale="90" workbookViewId="0"/>
  </sheetViews>
  <sheetFormatPr defaultColWidth="9.140625" defaultRowHeight="12" customHeight="1"/>
  <cols>
    <col min="1" max="1" width="4.7109375" style="4093" hidden="1" customWidth="1"/>
    <col min="2" max="2" width="4.7109375" style="4094" hidden="1" customWidth="1"/>
    <col min="3" max="4" width="4.7109375" style="4093" hidden="1" customWidth="1"/>
    <col min="5" max="5" width="3.5703125" style="4093" customWidth="1"/>
    <col min="6" max="6" width="6.7109375" style="4093" customWidth="1"/>
    <col min="7" max="7" width="18.7109375" style="4093" customWidth="1"/>
    <col min="8" max="8" width="27.28515625" style="4093" customWidth="1"/>
    <col min="9" max="9" width="18.7109375" style="4093" customWidth="1"/>
    <col min="10" max="14" width="0.85546875" style="4093" hidden="1" customWidth="1"/>
    <col min="15" max="28" width="21.7109375" style="4093" hidden="1" customWidth="1"/>
    <col min="29" max="71" width="0.85546875" style="4093" hidden="1" customWidth="1"/>
    <col min="72" max="79" width="21.7109375" style="4093" hidden="1" customWidth="1"/>
    <col min="80" max="81" width="29.140625" style="4093" hidden="1" customWidth="1"/>
    <col min="82" max="89" width="21.7109375" style="4093" hidden="1" customWidth="1"/>
    <col min="90" max="102" width="0.7109375" style="4093" hidden="1" customWidth="1"/>
    <col min="103" max="114" width="21.7109375" style="4093" customWidth="1"/>
    <col min="115" max="128" width="0.7109375" style="4093" customWidth="1"/>
    <col min="129" max="178" width="0.7109375" style="4093" hidden="1" customWidth="1"/>
    <col min="179" max="179" width="0.140625" style="4093" customWidth="1"/>
    <col min="180" max="184" width="9.140625" style="4093"/>
  </cols>
  <sheetData>
    <row r="1" spans="2:180" s="4086" customFormat="1" ht="12" hidden="1" customHeight="1">
      <c r="B1" s="836"/>
      <c r="C1" s="837"/>
      <c r="D1" s="837"/>
    </row>
    <row r="2" spans="2:180" s="4086"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8"/>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4086"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8"/>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4088" customFormat="1" ht="25.5" customHeight="1">
      <c r="B5" s="1784"/>
      <c r="E5" s="1785"/>
      <c r="F5" s="4880"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год</v>
      </c>
      <c r="G5" s="4667"/>
      <c r="H5" s="4667"/>
      <c r="I5" s="4667"/>
      <c r="J5" s="4667"/>
      <c r="K5" s="4667"/>
      <c r="L5" s="4667"/>
      <c r="M5" s="4667"/>
      <c r="N5" s="4667"/>
      <c r="O5" s="4667"/>
      <c r="P5" s="4667"/>
      <c r="Q5" s="4667"/>
      <c r="R5" s="4667"/>
      <c r="S5" s="4667"/>
      <c r="T5" s="4667"/>
      <c r="U5" s="4667"/>
      <c r="V5" s="4667"/>
      <c r="W5" s="4667"/>
      <c r="X5" s="4667"/>
      <c r="Y5" s="4667"/>
      <c r="Z5" s="4667"/>
      <c r="AA5" s="4667"/>
      <c r="AB5" s="4667"/>
      <c r="AC5" s="4667"/>
      <c r="AD5" s="4667"/>
      <c r="AE5" s="4667"/>
      <c r="AF5" s="4667"/>
      <c r="AG5" s="4667"/>
      <c r="AH5" s="4667"/>
      <c r="AI5" s="4667"/>
      <c r="AJ5" s="4667"/>
      <c r="AK5" s="4667"/>
      <c r="AL5" s="4667"/>
      <c r="AM5" s="4667"/>
      <c r="AN5" s="4667"/>
      <c r="AO5" s="4667"/>
      <c r="AP5" s="4667"/>
      <c r="AQ5" s="4667"/>
      <c r="AR5" s="4667"/>
      <c r="AS5" s="4667"/>
      <c r="AT5" s="4667"/>
      <c r="AU5" s="4667"/>
      <c r="AV5" s="4667"/>
      <c r="AW5" s="4667"/>
      <c r="AX5" s="4667"/>
      <c r="AY5" s="4667"/>
      <c r="AZ5" s="4667"/>
      <c r="BA5" s="4667"/>
      <c r="BB5" s="4667"/>
      <c r="BC5" s="4667"/>
      <c r="BD5" s="4667"/>
      <c r="BE5" s="4667"/>
      <c r="BF5" s="4667"/>
      <c r="BG5" s="4667"/>
      <c r="BH5" s="4667"/>
      <c r="BI5" s="4667"/>
      <c r="BJ5" s="4667"/>
      <c r="BK5" s="4667"/>
      <c r="BL5" s="4667"/>
      <c r="BM5" s="4667"/>
      <c r="BN5" s="4667"/>
      <c r="BO5" s="4667"/>
      <c r="BP5" s="4667"/>
      <c r="BQ5" s="4667"/>
      <c r="BR5" s="4667"/>
      <c r="BS5" s="4667"/>
    </row>
    <row r="6" spans="2:180" s="4089" customFormat="1" ht="18" customHeight="1">
      <c r="B6" s="854"/>
      <c r="E6" s="855"/>
      <c r="F6" s="4724" t="str">
        <f>IF(org=0,"Не определено",org)</f>
        <v>ОГКП "Ульяновский областной водоканал"</v>
      </c>
      <c r="G6" s="4725"/>
      <c r="H6" s="4725"/>
      <c r="I6" s="4725"/>
      <c r="J6" s="4725"/>
      <c r="K6" s="4725"/>
      <c r="L6" s="4725"/>
      <c r="M6" s="4725"/>
      <c r="N6" s="4725"/>
      <c r="O6" s="4725"/>
      <c r="P6" s="4725"/>
      <c r="Q6" s="4725"/>
      <c r="R6" s="4725"/>
      <c r="S6" s="4725"/>
      <c r="T6" s="4725"/>
      <c r="U6" s="4725"/>
      <c r="V6" s="4725"/>
      <c r="W6" s="4725"/>
      <c r="X6" s="4725"/>
      <c r="Y6" s="4725"/>
      <c r="Z6" s="4725"/>
      <c r="AA6" s="4725"/>
      <c r="AB6" s="4725"/>
      <c r="AC6" s="4725"/>
      <c r="AD6" s="4725"/>
      <c r="AE6" s="4725"/>
      <c r="AF6" s="4725"/>
      <c r="AG6" s="4725"/>
      <c r="AH6" s="4725"/>
      <c r="AI6" s="4725"/>
      <c r="AJ6" s="4725"/>
      <c r="AK6" s="4725"/>
      <c r="AL6" s="4725"/>
      <c r="AM6" s="4725"/>
      <c r="AN6" s="4725"/>
      <c r="AO6" s="4725"/>
      <c r="AP6" s="4725"/>
      <c r="AQ6" s="4725"/>
      <c r="AR6" s="4725"/>
      <c r="AS6" s="4725"/>
      <c r="AT6" s="4725"/>
      <c r="AU6" s="4725"/>
      <c r="AV6" s="4725"/>
      <c r="AW6" s="4725"/>
      <c r="AX6" s="4725"/>
      <c r="AY6" s="4725"/>
      <c r="AZ6" s="4725"/>
      <c r="BA6" s="4725"/>
      <c r="BB6" s="4725"/>
      <c r="BC6" s="4725"/>
      <c r="BD6" s="4725"/>
      <c r="BE6" s="4725"/>
      <c r="BF6" s="4725"/>
      <c r="BG6" s="4725"/>
      <c r="BH6" s="4725"/>
      <c r="BI6" s="4725"/>
      <c r="BJ6" s="4725"/>
      <c r="BK6" s="4725"/>
      <c r="BL6" s="4725"/>
      <c r="BM6" s="4725"/>
      <c r="BN6" s="4725"/>
      <c r="BO6" s="4725"/>
      <c r="BP6" s="4725"/>
      <c r="BQ6" s="4725"/>
      <c r="BR6" s="4725"/>
      <c r="BS6" s="4725"/>
    </row>
    <row r="7" spans="2:180" s="4090" customFormat="1" ht="10.5" customHeight="1">
      <c r="B7" s="843"/>
      <c r="E7" s="844"/>
      <c r="F7" s="844"/>
      <c r="G7" s="846"/>
      <c r="H7" s="841"/>
      <c r="I7" s="841"/>
      <c r="J7" s="841"/>
      <c r="K7" s="841"/>
      <c r="L7" s="841"/>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44"/>
      <c r="CG7" s="844"/>
      <c r="CH7" s="844"/>
      <c r="CI7" s="844"/>
      <c r="CJ7" s="844"/>
      <c r="CK7" s="844"/>
      <c r="CL7" s="844"/>
      <c r="CM7" s="844"/>
      <c r="CN7" s="844"/>
      <c r="CO7" s="844"/>
      <c r="CP7" s="844"/>
      <c r="CQ7" s="844"/>
      <c r="CR7" s="844"/>
      <c r="CS7" s="844"/>
      <c r="CT7" s="844"/>
      <c r="CU7" s="844"/>
      <c r="CV7" s="844"/>
      <c r="CW7" s="844"/>
      <c r="CX7" s="844"/>
      <c r="CY7" s="844"/>
      <c r="CZ7" s="844"/>
      <c r="DA7" s="844"/>
      <c r="DB7" s="844"/>
      <c r="DC7" s="844"/>
      <c r="DD7" s="844"/>
      <c r="DE7" s="844"/>
      <c r="DF7" s="844"/>
      <c r="DG7" s="844"/>
      <c r="DH7" s="844"/>
      <c r="DI7" s="844"/>
      <c r="DJ7" s="844"/>
      <c r="DK7" s="844"/>
      <c r="DL7" s="84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4"/>
      <c r="ET7" s="844"/>
      <c r="EU7" s="844"/>
      <c r="EV7" s="844"/>
      <c r="EW7" s="844"/>
      <c r="EX7" s="844"/>
      <c r="EY7" s="844"/>
      <c r="EZ7" s="844"/>
      <c r="FA7" s="844"/>
      <c r="FB7" s="844"/>
      <c r="FC7" s="844"/>
      <c r="FD7" s="844"/>
      <c r="FE7" s="844"/>
      <c r="FF7" s="844"/>
      <c r="FG7" s="844"/>
      <c r="FH7" s="844"/>
      <c r="FI7" s="844"/>
      <c r="FJ7" s="844"/>
      <c r="FK7" s="844"/>
      <c r="FL7" s="844"/>
      <c r="FM7" s="844"/>
      <c r="FN7" s="844"/>
      <c r="FO7" s="844"/>
      <c r="FP7" s="844"/>
      <c r="FQ7" s="844"/>
      <c r="FR7" s="844"/>
      <c r="FS7" s="844"/>
      <c r="FT7" s="844"/>
      <c r="FU7" s="844"/>
      <c r="FV7" s="844"/>
      <c r="FW7" s="844"/>
    </row>
    <row r="8" spans="2:180" s="4091" customFormat="1" ht="11.25" hidden="1" customHeight="1">
      <c r="B8" s="845"/>
      <c r="F8" s="964"/>
      <c r="G8" s="681"/>
      <c r="H8" s="286"/>
      <c r="I8" s="286"/>
      <c r="J8" s="286"/>
      <c r="K8" s="286"/>
      <c r="L8" s="286"/>
      <c r="M8" s="964"/>
      <c r="N8" s="964"/>
      <c r="O8" s="4898" t="s">
        <v>1121</v>
      </c>
      <c r="P8" s="4899"/>
      <c r="Q8" s="4899"/>
      <c r="R8" s="4899"/>
      <c r="S8" s="4899"/>
      <c r="T8" s="4899"/>
      <c r="U8" s="4899"/>
      <c r="V8" s="4899"/>
      <c r="W8" s="4899"/>
      <c r="X8" s="4899"/>
      <c r="Y8" s="4899"/>
      <c r="Z8" s="4899"/>
      <c r="AA8" s="4899"/>
      <c r="AB8" s="4899"/>
      <c r="AC8" s="4899"/>
      <c r="AD8" s="4899"/>
      <c r="AE8" s="4899"/>
      <c r="AF8" s="4899"/>
      <c r="AG8" s="4899"/>
      <c r="AH8" s="4899"/>
      <c r="AI8" s="4899"/>
      <c r="AJ8" s="4899"/>
      <c r="AK8" s="4899"/>
      <c r="AL8" s="4899"/>
      <c r="AM8" s="4899"/>
      <c r="AN8" s="4899"/>
      <c r="AO8" s="4899"/>
      <c r="AP8" s="4899"/>
      <c r="AQ8" s="4899"/>
      <c r="AR8" s="4899"/>
      <c r="AS8" s="4899"/>
      <c r="AT8" s="4899"/>
      <c r="AU8" s="4899"/>
      <c r="AV8" s="4899"/>
      <c r="AW8" s="4899"/>
      <c r="AX8" s="4899"/>
      <c r="AY8" s="4899"/>
      <c r="AZ8" s="4899"/>
      <c r="BA8" s="4899"/>
      <c r="BB8" s="4899"/>
      <c r="BC8" s="4899"/>
      <c r="BD8" s="4899"/>
      <c r="BE8" s="4899"/>
      <c r="BF8" s="4899"/>
      <c r="BG8" s="4899"/>
      <c r="BH8" s="4899"/>
      <c r="BI8" s="4899"/>
      <c r="BJ8" s="4899"/>
      <c r="BK8" s="4899"/>
      <c r="BL8" s="4899"/>
      <c r="BM8" s="4899"/>
      <c r="BN8" s="4899"/>
      <c r="BO8" s="4899"/>
      <c r="BP8" s="4899"/>
      <c r="BQ8" s="4899"/>
      <c r="BR8" s="4899"/>
      <c r="BS8" s="4900"/>
      <c r="BT8" s="4887"/>
      <c r="BU8" s="4888"/>
      <c r="BV8" s="4888"/>
      <c r="BW8" s="4888"/>
      <c r="BX8" s="4888"/>
      <c r="BY8" s="4888"/>
      <c r="BZ8" s="4888"/>
      <c r="CA8" s="4888"/>
      <c r="CB8" s="4888"/>
      <c r="CC8" s="4888"/>
      <c r="CD8" s="4888"/>
      <c r="CE8" s="4888"/>
      <c r="CF8" s="4888"/>
      <c r="CG8" s="4888"/>
      <c r="CH8" s="4888"/>
      <c r="CI8" s="4888"/>
      <c r="CJ8" s="4888"/>
      <c r="CK8" s="4888"/>
      <c r="CL8" s="4888"/>
      <c r="CM8" s="4888"/>
      <c r="CN8" s="4888"/>
      <c r="CO8" s="4888"/>
      <c r="CP8" s="4888"/>
      <c r="CQ8" s="4888"/>
      <c r="CR8" s="4888"/>
      <c r="CS8" s="4888"/>
      <c r="CT8" s="4888"/>
      <c r="CU8" s="4888"/>
      <c r="CV8" s="4888"/>
      <c r="CW8" s="4888"/>
      <c r="CX8" s="4889"/>
      <c r="CY8" s="4890"/>
      <c r="CZ8" s="4891"/>
      <c r="DA8" s="4891"/>
      <c r="DB8" s="4891"/>
      <c r="DC8" s="4891"/>
      <c r="DD8" s="4891"/>
      <c r="DE8" s="4891"/>
      <c r="DF8" s="4891"/>
      <c r="DG8" s="4891"/>
      <c r="DH8" s="4891"/>
      <c r="DI8" s="4891"/>
      <c r="DJ8" s="4891"/>
      <c r="DK8" s="4891"/>
      <c r="DL8" s="4891"/>
      <c r="DM8" s="4891"/>
      <c r="DN8" s="4891"/>
      <c r="DO8" s="4891"/>
      <c r="DP8" s="4891"/>
      <c r="DQ8" s="4891"/>
      <c r="DR8" s="4891"/>
      <c r="DS8" s="4891"/>
      <c r="DT8" s="4891"/>
      <c r="DU8" s="4891"/>
      <c r="DV8" s="4891"/>
      <c r="DW8" s="4891"/>
      <c r="DX8" s="4892"/>
      <c r="DY8" s="4893" t="s">
        <v>1122</v>
      </c>
      <c r="DZ8" s="4894"/>
      <c r="EA8" s="4894"/>
      <c r="EB8" s="4894"/>
      <c r="EC8" s="4894"/>
      <c r="ED8" s="4894"/>
      <c r="EE8" s="4894"/>
      <c r="EF8" s="4894"/>
      <c r="EG8" s="4894"/>
      <c r="EH8" s="4894"/>
      <c r="EI8" s="4894"/>
      <c r="EJ8" s="4894"/>
      <c r="EK8" s="4894"/>
      <c r="EL8" s="4894"/>
      <c r="EM8" s="4894"/>
      <c r="EN8" s="4894"/>
      <c r="EO8" s="4894"/>
      <c r="EP8" s="4894"/>
      <c r="EQ8" s="4894"/>
      <c r="ER8" s="4894"/>
      <c r="ES8" s="4894"/>
      <c r="ET8" s="4894"/>
      <c r="EU8" s="4894"/>
      <c r="EV8" s="4894"/>
      <c r="EW8" s="4894"/>
      <c r="EX8" s="4894"/>
      <c r="EY8" s="4894"/>
      <c r="EZ8" s="4894"/>
      <c r="FA8" s="4894"/>
      <c r="FB8" s="4894"/>
      <c r="FC8" s="4894"/>
      <c r="FD8" s="4894"/>
      <c r="FE8" s="4894"/>
      <c r="FF8" s="4894"/>
      <c r="FG8" s="4894"/>
      <c r="FH8" s="4894"/>
      <c r="FI8" s="4894"/>
      <c r="FJ8" s="4894"/>
      <c r="FK8" s="4894"/>
      <c r="FL8" s="4894"/>
      <c r="FM8" s="4894"/>
      <c r="FN8" s="4894"/>
      <c r="FO8" s="4894"/>
      <c r="FP8" s="4894"/>
      <c r="FQ8" s="4894"/>
      <c r="FR8" s="4894"/>
      <c r="FS8" s="4894"/>
      <c r="FT8" s="4894"/>
      <c r="FU8" s="4894"/>
      <c r="FV8" s="4894"/>
      <c r="FW8" s="4895"/>
      <c r="FX8" s="964"/>
    </row>
    <row r="9" spans="2:180" s="4091" customFormat="1" ht="11.25" hidden="1" customHeight="1">
      <c r="B9" s="845"/>
      <c r="F9" s="964"/>
      <c r="G9" s="681"/>
      <c r="H9" s="286"/>
      <c r="I9" s="286"/>
      <c r="J9" s="286"/>
      <c r="K9" s="286"/>
      <c r="L9" s="28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4896"/>
      <c r="FX9" s="964"/>
    </row>
    <row r="10" spans="2:180" s="4091" customFormat="1" ht="11.25" customHeight="1">
      <c r="B10" s="845"/>
      <c r="F10" s="4862" t="s">
        <v>439</v>
      </c>
      <c r="G10" s="4878"/>
      <c r="H10" s="4878"/>
      <c r="I10" s="4878"/>
      <c r="J10" s="4878"/>
      <c r="K10" s="4878"/>
      <c r="L10" s="4878"/>
      <c r="M10" s="4878"/>
      <c r="N10" s="4878"/>
      <c r="O10" s="4878"/>
      <c r="P10" s="4878"/>
      <c r="Q10" s="4878"/>
      <c r="R10" s="4878"/>
      <c r="S10" s="4878"/>
      <c r="T10" s="4878"/>
      <c r="U10" s="4878"/>
      <c r="V10" s="4878"/>
      <c r="W10" s="4878"/>
      <c r="X10" s="4878"/>
      <c r="Y10" s="4878"/>
      <c r="Z10" s="4878"/>
      <c r="AA10" s="4878"/>
      <c r="AB10" s="4878"/>
      <c r="AC10" s="4878"/>
      <c r="AD10" s="4878"/>
      <c r="AE10" s="4878"/>
      <c r="AF10" s="4878"/>
      <c r="AG10" s="4878"/>
      <c r="AH10" s="4878"/>
      <c r="AI10" s="4878"/>
      <c r="AJ10" s="4878"/>
      <c r="AK10" s="4878"/>
      <c r="AL10" s="4878"/>
      <c r="AM10" s="4878"/>
      <c r="AN10" s="4878"/>
      <c r="AO10" s="4878"/>
      <c r="AP10" s="4878"/>
      <c r="AQ10" s="4878"/>
      <c r="AR10" s="4878"/>
      <c r="AS10" s="4878"/>
      <c r="AT10" s="4878"/>
      <c r="AU10" s="4878"/>
      <c r="AV10" s="4878"/>
      <c r="AW10" s="4878"/>
      <c r="AX10" s="4878"/>
      <c r="AY10" s="4878"/>
      <c r="AZ10" s="4878"/>
      <c r="BA10" s="4878"/>
      <c r="BB10" s="4878"/>
      <c r="BC10" s="4878"/>
      <c r="BD10" s="4878"/>
      <c r="BE10" s="4878"/>
      <c r="BF10" s="4878"/>
      <c r="BG10" s="4878"/>
      <c r="BH10" s="4878"/>
      <c r="BI10" s="4878"/>
      <c r="BJ10" s="4878"/>
      <c r="BK10" s="4878"/>
      <c r="BL10" s="4878"/>
      <c r="BM10" s="4878"/>
      <c r="BN10" s="4878"/>
      <c r="BO10" s="4878"/>
      <c r="BP10" s="4878"/>
      <c r="BQ10" s="4878"/>
      <c r="BR10" s="4878"/>
      <c r="BS10" s="4878"/>
      <c r="BT10" s="4878"/>
      <c r="BU10" s="4878"/>
      <c r="BV10" s="4878"/>
      <c r="BW10" s="4878"/>
      <c r="BX10" s="4878"/>
      <c r="BY10" s="4878"/>
      <c r="BZ10" s="4878"/>
      <c r="CA10" s="4878"/>
      <c r="CB10" s="4878"/>
      <c r="CC10" s="4878"/>
      <c r="CD10" s="4878"/>
      <c r="CE10" s="4878"/>
      <c r="CF10" s="4878"/>
      <c r="CG10" s="4878"/>
      <c r="CH10" s="4878"/>
      <c r="CI10" s="4878"/>
      <c r="CJ10" s="4878"/>
      <c r="CK10" s="4878"/>
      <c r="CL10" s="4878"/>
      <c r="CM10" s="4878"/>
      <c r="CN10" s="4878"/>
      <c r="CO10" s="4878"/>
      <c r="CP10" s="4878"/>
      <c r="CQ10" s="4878"/>
      <c r="CR10" s="4878"/>
      <c r="CS10" s="4878"/>
      <c r="CT10" s="4878"/>
      <c r="CU10" s="4878"/>
      <c r="CV10" s="4878"/>
      <c r="CW10" s="4878"/>
      <c r="CX10" s="4878"/>
      <c r="CY10" s="4878"/>
      <c r="CZ10" s="4878"/>
      <c r="DA10" s="4878"/>
      <c r="DB10" s="4878"/>
      <c r="DC10" s="4878"/>
      <c r="DD10" s="4878"/>
      <c r="DE10" s="4878"/>
      <c r="DF10" s="4878"/>
      <c r="DG10" s="4878"/>
      <c r="DH10" s="4878"/>
      <c r="DI10" s="4878"/>
      <c r="DJ10" s="4878"/>
      <c r="DK10" s="4878"/>
      <c r="DL10" s="4878"/>
      <c r="DM10" s="4878"/>
      <c r="DN10" s="4878"/>
      <c r="DO10" s="4878"/>
      <c r="DP10" s="4878"/>
      <c r="DQ10" s="4878"/>
      <c r="DR10" s="4878"/>
      <c r="DS10" s="4878"/>
      <c r="DT10" s="4878"/>
      <c r="DU10" s="4878"/>
      <c r="DV10" s="4878"/>
      <c r="DW10" s="4878"/>
      <c r="DX10" s="4878"/>
      <c r="DY10" s="4878"/>
      <c r="DZ10" s="4878"/>
      <c r="EA10" s="4878"/>
      <c r="EB10" s="4878"/>
      <c r="EC10" s="4878"/>
      <c r="ED10" s="4878"/>
      <c r="EE10" s="4878"/>
      <c r="EF10" s="4878"/>
      <c r="EG10" s="4878"/>
      <c r="EH10" s="4878"/>
      <c r="EI10" s="4878"/>
      <c r="EJ10" s="4878"/>
      <c r="EK10" s="4878"/>
      <c r="EL10" s="4878"/>
      <c r="EM10" s="4878"/>
      <c r="EN10" s="4878"/>
      <c r="EO10" s="4878"/>
      <c r="EP10" s="4878"/>
      <c r="EQ10" s="4878"/>
      <c r="ER10" s="4878"/>
      <c r="ES10" s="4878"/>
      <c r="ET10" s="4878"/>
      <c r="EU10" s="4878"/>
      <c r="EV10" s="4878"/>
      <c r="EW10" s="4878"/>
      <c r="EX10" s="4878"/>
      <c r="EY10" s="4878"/>
      <c r="EZ10" s="4878"/>
      <c r="FA10" s="4878"/>
      <c r="FB10" s="4878"/>
      <c r="FC10" s="4878"/>
      <c r="FD10" s="4878"/>
      <c r="FE10" s="4878"/>
      <c r="FF10" s="4878"/>
      <c r="FG10" s="4878"/>
      <c r="FH10" s="4878"/>
      <c r="FI10" s="4878"/>
      <c r="FJ10" s="4878"/>
      <c r="FK10" s="4878"/>
      <c r="FL10" s="4878"/>
      <c r="FM10" s="4878"/>
      <c r="FN10" s="4878"/>
      <c r="FO10" s="4878"/>
      <c r="FP10" s="4878"/>
      <c r="FQ10" s="4878"/>
      <c r="FR10" s="4878"/>
      <c r="FS10" s="4878"/>
      <c r="FT10" s="4878"/>
      <c r="FU10" s="4878"/>
      <c r="FV10" s="4879"/>
      <c r="FW10" s="4896"/>
      <c r="FX10" s="964"/>
    </row>
    <row r="11" spans="2:180" ht="12" customHeight="1">
      <c r="E11" s="847"/>
      <c r="F11" s="4714" t="s">
        <v>86</v>
      </c>
      <c r="G11" s="4714" t="s">
        <v>1123</v>
      </c>
      <c r="H11" s="4714" t="s">
        <v>1124</v>
      </c>
      <c r="I11" s="4714" t="s">
        <v>1125</v>
      </c>
      <c r="J11" s="4886"/>
      <c r="K11" s="4886"/>
      <c r="L11" s="4886"/>
      <c r="M11" s="4886"/>
      <c r="N11" s="4886"/>
      <c r="O11" s="4719" t="s">
        <v>1126</v>
      </c>
      <c r="P11" s="4719"/>
      <c r="Q11" s="4719"/>
      <c r="R11" s="4719"/>
      <c r="S11" s="4719"/>
      <c r="T11" s="4719"/>
      <c r="U11" s="4719"/>
      <c r="V11" s="4719"/>
      <c r="W11" s="4719"/>
      <c r="X11" s="4719"/>
      <c r="Y11" s="4719"/>
      <c r="Z11" s="4719"/>
      <c r="AA11" s="4719"/>
      <c r="AB11" s="4719"/>
      <c r="AC11" s="4884"/>
      <c r="AD11" s="4884"/>
      <c r="AE11" s="4884"/>
      <c r="AF11" s="4884"/>
      <c r="AG11" s="4884"/>
      <c r="AH11" s="4884"/>
      <c r="AI11" s="4884"/>
      <c r="AJ11" s="4884"/>
      <c r="AK11" s="4884"/>
      <c r="AL11" s="4884"/>
      <c r="AM11" s="4884"/>
      <c r="AN11" s="4884"/>
      <c r="AO11" s="4884"/>
      <c r="AP11" s="4884"/>
      <c r="AQ11" s="4884"/>
      <c r="AR11" s="4884"/>
      <c r="AS11" s="4884"/>
      <c r="AT11" s="4884"/>
      <c r="AU11" s="4884"/>
      <c r="AV11" s="4884"/>
      <c r="AW11" s="4884"/>
      <c r="AX11" s="4884"/>
      <c r="AY11" s="4884"/>
      <c r="AZ11" s="4884"/>
      <c r="BA11" s="4884"/>
      <c r="BB11" s="4884"/>
      <c r="BC11" s="4884"/>
      <c r="BD11" s="4884"/>
      <c r="BE11" s="4884"/>
      <c r="BF11" s="4884"/>
      <c r="BG11" s="4884"/>
      <c r="BH11" s="4884"/>
      <c r="BI11" s="4884"/>
      <c r="BJ11" s="4884"/>
      <c r="BK11" s="4884"/>
      <c r="BL11" s="4884"/>
      <c r="BM11" s="4884"/>
      <c r="BN11" s="4884"/>
      <c r="BO11" s="4884"/>
      <c r="BP11" s="4884"/>
      <c r="BQ11" s="4884"/>
      <c r="BR11" s="4884"/>
      <c r="BS11" s="4901"/>
      <c r="BT11" s="4881" t="s">
        <v>1126</v>
      </c>
      <c r="BU11" s="4882"/>
      <c r="BV11" s="4882"/>
      <c r="BW11" s="4882"/>
      <c r="BX11" s="4882"/>
      <c r="BY11" s="4882"/>
      <c r="BZ11" s="4882"/>
      <c r="CA11" s="4882"/>
      <c r="CB11" s="4882"/>
      <c r="CC11" s="4882"/>
      <c r="CD11" s="4882"/>
      <c r="CE11" s="4882"/>
      <c r="CF11" s="4882"/>
      <c r="CG11" s="4882"/>
      <c r="CH11" s="4882"/>
      <c r="CI11" s="4882"/>
      <c r="CJ11" s="4882"/>
      <c r="CK11" s="4883"/>
      <c r="CL11" s="4885"/>
      <c r="CM11" s="4884"/>
      <c r="CN11" s="4884"/>
      <c r="CO11" s="4884"/>
      <c r="CP11" s="4884"/>
      <c r="CQ11" s="4884"/>
      <c r="CR11" s="4884"/>
      <c r="CS11" s="4884"/>
      <c r="CT11" s="4884"/>
      <c r="CU11" s="4884"/>
      <c r="CV11" s="4884"/>
      <c r="CW11" s="4884"/>
      <c r="CX11" s="4901"/>
      <c r="CY11" s="4881" t="s">
        <v>1126</v>
      </c>
      <c r="CZ11" s="4882"/>
      <c r="DA11" s="4882"/>
      <c r="DB11" s="4882"/>
      <c r="DC11" s="4882"/>
      <c r="DD11" s="4882"/>
      <c r="DE11" s="4882"/>
      <c r="DF11" s="4882"/>
      <c r="DG11" s="4882"/>
      <c r="DH11" s="4882"/>
      <c r="DI11" s="4882"/>
      <c r="DJ11" s="4883"/>
      <c r="DK11" s="4885"/>
      <c r="DL11" s="4884"/>
      <c r="DM11" s="4884"/>
      <c r="DN11" s="4884"/>
      <c r="DO11" s="4884"/>
      <c r="DP11" s="4884"/>
      <c r="DQ11" s="4884"/>
      <c r="DR11" s="4884"/>
      <c r="DS11" s="4884"/>
      <c r="DT11" s="4884"/>
      <c r="DU11" s="4884"/>
      <c r="DV11" s="4884"/>
      <c r="DW11" s="4884"/>
      <c r="DX11" s="4884"/>
      <c r="DY11" s="4884"/>
      <c r="DZ11" s="4884"/>
      <c r="EA11" s="4884"/>
      <c r="EB11" s="4884"/>
      <c r="EC11" s="4884"/>
      <c r="ED11" s="4884"/>
      <c r="EE11" s="4884"/>
      <c r="EF11" s="4884"/>
      <c r="EG11" s="4884"/>
      <c r="EH11" s="4884"/>
      <c r="EI11" s="4884"/>
      <c r="EJ11" s="4884"/>
      <c r="EK11" s="4884"/>
      <c r="EL11" s="4884"/>
      <c r="EM11" s="4884"/>
      <c r="EN11" s="4884"/>
      <c r="EO11" s="4884"/>
      <c r="EP11" s="4884"/>
      <c r="EQ11" s="4884"/>
      <c r="ER11" s="4884"/>
      <c r="ES11" s="4884"/>
      <c r="ET11" s="4884"/>
      <c r="EU11" s="4884"/>
      <c r="EV11" s="4884"/>
      <c r="EW11" s="4884"/>
      <c r="EX11" s="4884"/>
      <c r="EY11" s="4884"/>
      <c r="EZ11" s="4884"/>
      <c r="FA11" s="4884"/>
      <c r="FB11" s="4884"/>
      <c r="FC11" s="4884"/>
      <c r="FD11" s="4884"/>
      <c r="FE11" s="4884"/>
      <c r="FF11" s="4884"/>
      <c r="FG11" s="4884"/>
      <c r="FH11" s="4884"/>
      <c r="FI11" s="4884"/>
      <c r="FJ11" s="4884"/>
      <c r="FK11" s="4884"/>
      <c r="FL11" s="4884"/>
      <c r="FM11" s="4884"/>
      <c r="FN11" s="4884"/>
      <c r="FO11" s="4884"/>
      <c r="FP11" s="4884"/>
      <c r="FQ11" s="4884"/>
      <c r="FR11" s="4884"/>
      <c r="FS11" s="4884"/>
      <c r="FT11" s="4884"/>
      <c r="FU11" s="4884"/>
      <c r="FV11" s="4884"/>
      <c r="FW11" s="4896"/>
      <c r="FX11" s="680"/>
    </row>
    <row r="12" spans="2:180" ht="12" customHeight="1">
      <c r="D12" s="848"/>
      <c r="E12" s="847"/>
      <c r="F12" s="4714"/>
      <c r="G12" s="4714"/>
      <c r="H12" s="4714"/>
      <c r="I12" s="4714"/>
      <c r="J12" s="4886"/>
      <c r="K12" s="4886"/>
      <c r="L12" s="4886"/>
      <c r="M12" s="4886"/>
      <c r="N12" s="4886"/>
      <c r="O12" s="4719" t="s">
        <v>1127</v>
      </c>
      <c r="P12" s="4719"/>
      <c r="Q12" s="4719"/>
      <c r="R12" s="4719"/>
      <c r="S12" s="4719" t="s">
        <v>1128</v>
      </c>
      <c r="T12" s="4719"/>
      <c r="U12" s="4719"/>
      <c r="V12" s="4719"/>
      <c r="W12" s="4719"/>
      <c r="X12" s="4719"/>
      <c r="Y12" s="4719"/>
      <c r="Z12" s="4719"/>
      <c r="AA12" s="4719"/>
      <c r="AB12" s="4719"/>
      <c r="AC12" s="4884"/>
      <c r="AD12" s="4884"/>
      <c r="AE12" s="4884"/>
      <c r="AF12" s="4884"/>
      <c r="AG12" s="4884"/>
      <c r="AH12" s="4884"/>
      <c r="AI12" s="4884"/>
      <c r="AJ12" s="4884"/>
      <c r="AK12" s="4884"/>
      <c r="AL12" s="4884"/>
      <c r="AM12" s="4884"/>
      <c r="AN12" s="4884"/>
      <c r="AO12" s="4884"/>
      <c r="AP12" s="4884"/>
      <c r="AQ12" s="4884"/>
      <c r="AR12" s="4884"/>
      <c r="AS12" s="4884"/>
      <c r="AT12" s="4884"/>
      <c r="AU12" s="4884"/>
      <c r="AV12" s="4884"/>
      <c r="AW12" s="4884"/>
      <c r="AX12" s="4884"/>
      <c r="AY12" s="4884"/>
      <c r="AZ12" s="4884"/>
      <c r="BA12" s="4884"/>
      <c r="BB12" s="4884"/>
      <c r="BC12" s="4884"/>
      <c r="BD12" s="4884"/>
      <c r="BE12" s="4884"/>
      <c r="BF12" s="4884"/>
      <c r="BG12" s="4884"/>
      <c r="BH12" s="4884"/>
      <c r="BI12" s="4884"/>
      <c r="BJ12" s="4884"/>
      <c r="BK12" s="4884"/>
      <c r="BL12" s="4884"/>
      <c r="BM12" s="4884"/>
      <c r="BN12" s="4884"/>
      <c r="BO12" s="4884"/>
      <c r="BP12" s="4884"/>
      <c r="BQ12" s="4884"/>
      <c r="BR12" s="4884"/>
      <c r="BS12" s="4901"/>
      <c r="BT12" s="4881" t="s">
        <v>1129</v>
      </c>
      <c r="BU12" s="4882"/>
      <c r="BV12" s="4882"/>
      <c r="BW12" s="4883"/>
      <c r="BX12" s="4881" t="s">
        <v>1130</v>
      </c>
      <c r="BY12" s="4882"/>
      <c r="BZ12" s="4882"/>
      <c r="CA12" s="4883"/>
      <c r="CB12" s="4881" t="s">
        <v>1131</v>
      </c>
      <c r="CC12" s="4883"/>
      <c r="CD12" s="4881" t="s">
        <v>1132</v>
      </c>
      <c r="CE12" s="4882"/>
      <c r="CF12" s="4882"/>
      <c r="CG12" s="4882"/>
      <c r="CH12" s="4882"/>
      <c r="CI12" s="4882"/>
      <c r="CJ12" s="4882"/>
      <c r="CK12" s="4883"/>
      <c r="CL12" s="4885"/>
      <c r="CM12" s="4884"/>
      <c r="CN12" s="4884"/>
      <c r="CO12" s="4884"/>
      <c r="CP12" s="4884"/>
      <c r="CQ12" s="4884"/>
      <c r="CR12" s="4884"/>
      <c r="CS12" s="4884"/>
      <c r="CT12" s="4884"/>
      <c r="CU12" s="4884"/>
      <c r="CV12" s="4884"/>
      <c r="CW12" s="4884"/>
      <c r="CX12" s="4901"/>
      <c r="CY12" s="4881" t="s">
        <v>1133</v>
      </c>
      <c r="CZ12" s="4882"/>
      <c r="DA12" s="4882"/>
      <c r="DB12" s="4882"/>
      <c r="DC12" s="4882"/>
      <c r="DD12" s="4883"/>
      <c r="DE12" s="4881" t="s">
        <v>1134</v>
      </c>
      <c r="DF12" s="4883"/>
      <c r="DG12" s="4881" t="s">
        <v>1132</v>
      </c>
      <c r="DH12" s="4882"/>
      <c r="DI12" s="4882"/>
      <c r="DJ12" s="4883"/>
      <c r="DK12" s="4885"/>
      <c r="DL12" s="4884"/>
      <c r="DM12" s="4884"/>
      <c r="DN12" s="4884"/>
      <c r="DO12" s="4884"/>
      <c r="DP12" s="4884"/>
      <c r="DQ12" s="4884"/>
      <c r="DR12" s="4884"/>
      <c r="DS12" s="4884"/>
      <c r="DT12" s="4884"/>
      <c r="DU12" s="4884"/>
      <c r="DV12" s="4884"/>
      <c r="DW12" s="4884"/>
      <c r="DX12" s="4884"/>
      <c r="DY12" s="4884"/>
      <c r="DZ12" s="4884"/>
      <c r="EA12" s="4884"/>
      <c r="EB12" s="4884"/>
      <c r="EC12" s="4884"/>
      <c r="ED12" s="4884"/>
      <c r="EE12" s="4884"/>
      <c r="EF12" s="4884"/>
      <c r="EG12" s="4884"/>
      <c r="EH12" s="4884"/>
      <c r="EI12" s="4884"/>
      <c r="EJ12" s="4884"/>
      <c r="EK12" s="4884"/>
      <c r="EL12" s="4884"/>
      <c r="EM12" s="4884"/>
      <c r="EN12" s="4884"/>
      <c r="EO12" s="4884"/>
      <c r="EP12" s="4884"/>
      <c r="EQ12" s="4884"/>
      <c r="ER12" s="4884"/>
      <c r="ES12" s="4884"/>
      <c r="ET12" s="4884"/>
      <c r="EU12" s="4884"/>
      <c r="EV12" s="4884"/>
      <c r="EW12" s="4884"/>
      <c r="EX12" s="4884"/>
      <c r="EY12" s="4884"/>
      <c r="EZ12" s="4884"/>
      <c r="FA12" s="4884"/>
      <c r="FB12" s="4884"/>
      <c r="FC12" s="4884"/>
      <c r="FD12" s="4884"/>
      <c r="FE12" s="4884"/>
      <c r="FF12" s="4884"/>
      <c r="FG12" s="4884"/>
      <c r="FH12" s="4884"/>
      <c r="FI12" s="4884"/>
      <c r="FJ12" s="4884"/>
      <c r="FK12" s="4884"/>
      <c r="FL12" s="4884"/>
      <c r="FM12" s="4884"/>
      <c r="FN12" s="4884"/>
      <c r="FO12" s="4884"/>
      <c r="FP12" s="4884"/>
      <c r="FQ12" s="4884"/>
      <c r="FR12" s="4884"/>
      <c r="FS12" s="4884"/>
      <c r="FT12" s="4884"/>
      <c r="FU12" s="4884"/>
      <c r="FV12" s="4884"/>
      <c r="FW12" s="4896"/>
      <c r="FX12" s="680"/>
    </row>
    <row r="13" spans="2:180" ht="36" customHeight="1">
      <c r="D13" s="848"/>
      <c r="E13" s="847"/>
      <c r="F13" s="4714"/>
      <c r="G13" s="4714"/>
      <c r="H13" s="4714"/>
      <c r="I13" s="4714"/>
      <c r="J13" s="4886"/>
      <c r="K13" s="4886"/>
      <c r="L13" s="4886"/>
      <c r="M13" s="4886"/>
      <c r="N13" s="4886"/>
      <c r="O13" s="4719" t="s">
        <v>1135</v>
      </c>
      <c r="P13" s="4719"/>
      <c r="Q13" s="4719"/>
      <c r="R13" s="4719"/>
      <c r="S13" s="4805" t="s">
        <v>1136</v>
      </c>
      <c r="T13" s="4864"/>
      <c r="U13" s="4627" t="s">
        <v>1137</v>
      </c>
      <c r="V13" s="4627"/>
      <c r="W13" s="4627"/>
      <c r="X13" s="4627"/>
      <c r="Y13" s="4627" t="s">
        <v>1138</v>
      </c>
      <c r="Z13" s="4627"/>
      <c r="AA13" s="4627"/>
      <c r="AB13" s="4627"/>
      <c r="AC13" s="4884"/>
      <c r="AD13" s="4884"/>
      <c r="AE13" s="4884"/>
      <c r="AF13" s="4884"/>
      <c r="AG13" s="4884"/>
      <c r="AH13" s="4884"/>
      <c r="AI13" s="4884"/>
      <c r="AJ13" s="4884"/>
      <c r="AK13" s="4884"/>
      <c r="AL13" s="4884"/>
      <c r="AM13" s="4884"/>
      <c r="AN13" s="4884"/>
      <c r="AO13" s="4884"/>
      <c r="AP13" s="4884"/>
      <c r="AQ13" s="4884"/>
      <c r="AR13" s="4884"/>
      <c r="AS13" s="4884"/>
      <c r="AT13" s="4884"/>
      <c r="AU13" s="4884"/>
      <c r="AV13" s="4884"/>
      <c r="AW13" s="4884"/>
      <c r="AX13" s="4884"/>
      <c r="AY13" s="4884"/>
      <c r="AZ13" s="4884"/>
      <c r="BA13" s="4884"/>
      <c r="BB13" s="4884"/>
      <c r="BC13" s="4884"/>
      <c r="BD13" s="4884"/>
      <c r="BE13" s="4884"/>
      <c r="BF13" s="4884"/>
      <c r="BG13" s="4884"/>
      <c r="BH13" s="4884"/>
      <c r="BI13" s="4884"/>
      <c r="BJ13" s="4884"/>
      <c r="BK13" s="4884"/>
      <c r="BL13" s="4884"/>
      <c r="BM13" s="4884"/>
      <c r="BN13" s="4884"/>
      <c r="BO13" s="4884"/>
      <c r="BP13" s="4884"/>
      <c r="BQ13" s="4884"/>
      <c r="BR13" s="4884"/>
      <c r="BS13" s="4901"/>
      <c r="BT13" s="4805" t="s">
        <v>1139</v>
      </c>
      <c r="BU13" s="4864"/>
      <c r="BV13" s="4805" t="s">
        <v>1140</v>
      </c>
      <c r="BW13" s="4864"/>
      <c r="BX13" s="4805" t="s">
        <v>1141</v>
      </c>
      <c r="BY13" s="4864"/>
      <c r="BZ13" s="4805" t="s">
        <v>1142</v>
      </c>
      <c r="CA13" s="4864"/>
      <c r="CB13" s="4805" t="s">
        <v>1143</v>
      </c>
      <c r="CC13" s="4864"/>
      <c r="CD13" s="4805" t="s">
        <v>1144</v>
      </c>
      <c r="CE13" s="4864"/>
      <c r="CF13" s="4805" t="s">
        <v>1145</v>
      </c>
      <c r="CG13" s="4864"/>
      <c r="CH13" s="4881" t="s">
        <v>1146</v>
      </c>
      <c r="CI13" s="4882"/>
      <c r="CJ13" s="4882"/>
      <c r="CK13" s="4883"/>
      <c r="CL13" s="4885"/>
      <c r="CM13" s="4884"/>
      <c r="CN13" s="4884"/>
      <c r="CO13" s="4884"/>
      <c r="CP13" s="4884"/>
      <c r="CQ13" s="4884"/>
      <c r="CR13" s="4884"/>
      <c r="CS13" s="4884"/>
      <c r="CT13" s="4884"/>
      <c r="CU13" s="4884"/>
      <c r="CV13" s="4884"/>
      <c r="CW13" s="4884"/>
      <c r="CX13" s="4901"/>
      <c r="CY13" s="4805" t="s">
        <v>1147</v>
      </c>
      <c r="CZ13" s="4864"/>
      <c r="DA13" s="4805" t="s">
        <v>1148</v>
      </c>
      <c r="DB13" s="4864"/>
      <c r="DC13" s="4805" t="s">
        <v>1149</v>
      </c>
      <c r="DD13" s="4864"/>
      <c r="DE13" s="4805" t="s">
        <v>1150</v>
      </c>
      <c r="DF13" s="4864"/>
      <c r="DG13" s="4881" t="s">
        <v>1151</v>
      </c>
      <c r="DH13" s="4882"/>
      <c r="DI13" s="4882"/>
      <c r="DJ13" s="4883"/>
      <c r="DK13" s="4885"/>
      <c r="DL13" s="4884"/>
      <c r="DM13" s="4884"/>
      <c r="DN13" s="4884"/>
      <c r="DO13" s="4884"/>
      <c r="DP13" s="4884"/>
      <c r="DQ13" s="4884"/>
      <c r="DR13" s="4884"/>
      <c r="DS13" s="4884"/>
      <c r="DT13" s="4884"/>
      <c r="DU13" s="4884"/>
      <c r="DV13" s="4884"/>
      <c r="DW13" s="4884"/>
      <c r="DX13" s="4884"/>
      <c r="DY13" s="4884"/>
      <c r="DZ13" s="4884"/>
      <c r="EA13" s="4884"/>
      <c r="EB13" s="4884"/>
      <c r="EC13" s="4884"/>
      <c r="ED13" s="4884"/>
      <c r="EE13" s="4884"/>
      <c r="EF13" s="4884"/>
      <c r="EG13" s="4884"/>
      <c r="EH13" s="4884"/>
      <c r="EI13" s="4884"/>
      <c r="EJ13" s="4884"/>
      <c r="EK13" s="4884"/>
      <c r="EL13" s="4884"/>
      <c r="EM13" s="4884"/>
      <c r="EN13" s="4884"/>
      <c r="EO13" s="4884"/>
      <c r="EP13" s="4884"/>
      <c r="EQ13" s="4884"/>
      <c r="ER13" s="4884"/>
      <c r="ES13" s="4884"/>
      <c r="ET13" s="4884"/>
      <c r="EU13" s="4884"/>
      <c r="EV13" s="4884"/>
      <c r="EW13" s="4884"/>
      <c r="EX13" s="4884"/>
      <c r="EY13" s="4884"/>
      <c r="EZ13" s="4884"/>
      <c r="FA13" s="4884"/>
      <c r="FB13" s="4884"/>
      <c r="FC13" s="4884"/>
      <c r="FD13" s="4884"/>
      <c r="FE13" s="4884"/>
      <c r="FF13" s="4884"/>
      <c r="FG13" s="4884"/>
      <c r="FH13" s="4884"/>
      <c r="FI13" s="4884"/>
      <c r="FJ13" s="4884"/>
      <c r="FK13" s="4884"/>
      <c r="FL13" s="4884"/>
      <c r="FM13" s="4884"/>
      <c r="FN13" s="4884"/>
      <c r="FO13" s="4884"/>
      <c r="FP13" s="4884"/>
      <c r="FQ13" s="4884"/>
      <c r="FR13" s="4884"/>
      <c r="FS13" s="4884"/>
      <c r="FT13" s="4884"/>
      <c r="FU13" s="4884"/>
      <c r="FV13" s="4884"/>
      <c r="FW13" s="4896"/>
      <c r="FX13" s="680"/>
    </row>
    <row r="14" spans="2:180" ht="36" customHeight="1">
      <c r="D14" s="848"/>
      <c r="E14" s="847"/>
      <c r="F14" s="4714"/>
      <c r="G14" s="4714"/>
      <c r="H14" s="4714"/>
      <c r="I14" s="4714"/>
      <c r="J14" s="4886"/>
      <c r="K14" s="4886"/>
      <c r="L14" s="4886"/>
      <c r="M14" s="4886"/>
      <c r="N14" s="4886"/>
      <c r="O14" s="4805" t="s">
        <v>1152</v>
      </c>
      <c r="P14" s="4864"/>
      <c r="Q14" s="4805" t="s">
        <v>1153</v>
      </c>
      <c r="R14" s="4864"/>
      <c r="S14" s="4806"/>
      <c r="T14" s="4720"/>
      <c r="U14" s="4805" t="s">
        <v>885</v>
      </c>
      <c r="V14" s="4864"/>
      <c r="W14" s="4805" t="s">
        <v>888</v>
      </c>
      <c r="X14" s="4864"/>
      <c r="Y14" s="4805" t="s">
        <v>885</v>
      </c>
      <c r="Z14" s="4864"/>
      <c r="AA14" s="4805" t="s">
        <v>895</v>
      </c>
      <c r="AB14" s="4864"/>
      <c r="AC14" s="4884"/>
      <c r="AD14" s="4884"/>
      <c r="AE14" s="4884"/>
      <c r="AF14" s="4884"/>
      <c r="AG14" s="4884"/>
      <c r="AH14" s="4884"/>
      <c r="AI14" s="4884"/>
      <c r="AJ14" s="4884"/>
      <c r="AK14" s="4884"/>
      <c r="AL14" s="4884"/>
      <c r="AM14" s="4884"/>
      <c r="AN14" s="4884"/>
      <c r="AO14" s="4884"/>
      <c r="AP14" s="4884"/>
      <c r="AQ14" s="4884"/>
      <c r="AR14" s="4884"/>
      <c r="AS14" s="4884"/>
      <c r="AT14" s="4884"/>
      <c r="AU14" s="4884"/>
      <c r="AV14" s="4884"/>
      <c r="AW14" s="4884"/>
      <c r="AX14" s="4884"/>
      <c r="AY14" s="4884"/>
      <c r="AZ14" s="4884"/>
      <c r="BA14" s="4884"/>
      <c r="BB14" s="4884"/>
      <c r="BC14" s="4884"/>
      <c r="BD14" s="4884"/>
      <c r="BE14" s="4884"/>
      <c r="BF14" s="4884"/>
      <c r="BG14" s="4884"/>
      <c r="BH14" s="4884"/>
      <c r="BI14" s="4884"/>
      <c r="BJ14" s="4884"/>
      <c r="BK14" s="4884"/>
      <c r="BL14" s="4884"/>
      <c r="BM14" s="4884"/>
      <c r="BN14" s="4884"/>
      <c r="BO14" s="4884"/>
      <c r="BP14" s="4884"/>
      <c r="BQ14" s="4884"/>
      <c r="BR14" s="4884"/>
      <c r="BS14" s="4901"/>
      <c r="BT14" s="4806"/>
      <c r="BU14" s="4720"/>
      <c r="BV14" s="4806"/>
      <c r="BW14" s="4720"/>
      <c r="BX14" s="4806"/>
      <c r="BY14" s="4720"/>
      <c r="BZ14" s="4806"/>
      <c r="CA14" s="4720"/>
      <c r="CB14" s="4806"/>
      <c r="CC14" s="4720"/>
      <c r="CD14" s="4806"/>
      <c r="CE14" s="4720"/>
      <c r="CF14" s="4806"/>
      <c r="CG14" s="4720"/>
      <c r="CH14" s="4805" t="s">
        <v>1154</v>
      </c>
      <c r="CI14" s="4864"/>
      <c r="CJ14" s="4805" t="s">
        <v>1155</v>
      </c>
      <c r="CK14" s="4864"/>
      <c r="CL14" s="4885"/>
      <c r="CM14" s="4884"/>
      <c r="CN14" s="4884"/>
      <c r="CO14" s="4884"/>
      <c r="CP14" s="4884"/>
      <c r="CQ14" s="4884"/>
      <c r="CR14" s="4884"/>
      <c r="CS14" s="4884"/>
      <c r="CT14" s="4884"/>
      <c r="CU14" s="4884"/>
      <c r="CV14" s="4884"/>
      <c r="CW14" s="4884"/>
      <c r="CX14" s="4901"/>
      <c r="CY14" s="4806"/>
      <c r="CZ14" s="4720"/>
      <c r="DA14" s="4806"/>
      <c r="DB14" s="4720"/>
      <c r="DC14" s="4806"/>
      <c r="DD14" s="4720"/>
      <c r="DE14" s="4806"/>
      <c r="DF14" s="4720"/>
      <c r="DG14" s="4805" t="s">
        <v>1156</v>
      </c>
      <c r="DH14" s="4864"/>
      <c r="DI14" s="4805" t="s">
        <v>1157</v>
      </c>
      <c r="DJ14" s="4864"/>
      <c r="DK14" s="4885"/>
      <c r="DL14" s="4884"/>
      <c r="DM14" s="4884"/>
      <c r="DN14" s="4884"/>
      <c r="DO14" s="4884"/>
      <c r="DP14" s="4884"/>
      <c r="DQ14" s="4884"/>
      <c r="DR14" s="4884"/>
      <c r="DS14" s="4884"/>
      <c r="DT14" s="4884"/>
      <c r="DU14" s="4884"/>
      <c r="DV14" s="4884"/>
      <c r="DW14" s="4884"/>
      <c r="DX14" s="4884"/>
      <c r="DY14" s="4884"/>
      <c r="DZ14" s="4884"/>
      <c r="EA14" s="4884"/>
      <c r="EB14" s="4884"/>
      <c r="EC14" s="4884"/>
      <c r="ED14" s="4884"/>
      <c r="EE14" s="4884"/>
      <c r="EF14" s="4884"/>
      <c r="EG14" s="4884"/>
      <c r="EH14" s="4884"/>
      <c r="EI14" s="4884"/>
      <c r="EJ14" s="4884"/>
      <c r="EK14" s="4884"/>
      <c r="EL14" s="4884"/>
      <c r="EM14" s="4884"/>
      <c r="EN14" s="4884"/>
      <c r="EO14" s="4884"/>
      <c r="EP14" s="4884"/>
      <c r="EQ14" s="4884"/>
      <c r="ER14" s="4884"/>
      <c r="ES14" s="4884"/>
      <c r="ET14" s="4884"/>
      <c r="EU14" s="4884"/>
      <c r="EV14" s="4884"/>
      <c r="EW14" s="4884"/>
      <c r="EX14" s="4884"/>
      <c r="EY14" s="4884"/>
      <c r="EZ14" s="4884"/>
      <c r="FA14" s="4884"/>
      <c r="FB14" s="4884"/>
      <c r="FC14" s="4884"/>
      <c r="FD14" s="4884"/>
      <c r="FE14" s="4884"/>
      <c r="FF14" s="4884"/>
      <c r="FG14" s="4884"/>
      <c r="FH14" s="4884"/>
      <c r="FI14" s="4884"/>
      <c r="FJ14" s="4884"/>
      <c r="FK14" s="4884"/>
      <c r="FL14" s="4884"/>
      <c r="FM14" s="4884"/>
      <c r="FN14" s="4884"/>
      <c r="FO14" s="4884"/>
      <c r="FP14" s="4884"/>
      <c r="FQ14" s="4884"/>
      <c r="FR14" s="4884"/>
      <c r="FS14" s="4884"/>
      <c r="FT14" s="4884"/>
      <c r="FU14" s="4884"/>
      <c r="FV14" s="4884"/>
      <c r="FW14" s="4896"/>
      <c r="FX14" s="680"/>
    </row>
    <row r="15" spans="2:180" ht="36" customHeight="1">
      <c r="D15" s="848"/>
      <c r="E15" s="847"/>
      <c r="F15" s="4714"/>
      <c r="G15" s="4714"/>
      <c r="H15" s="4714"/>
      <c r="I15" s="4714"/>
      <c r="J15" s="4886"/>
      <c r="K15" s="4886"/>
      <c r="L15" s="4886"/>
      <c r="M15" s="4886"/>
      <c r="N15" s="4886"/>
      <c r="O15" s="4807"/>
      <c r="P15" s="4865"/>
      <c r="Q15" s="4807"/>
      <c r="R15" s="4865"/>
      <c r="S15" s="4807"/>
      <c r="T15" s="4865"/>
      <c r="U15" s="4807"/>
      <c r="V15" s="4865"/>
      <c r="W15" s="4807"/>
      <c r="X15" s="4865"/>
      <c r="Y15" s="4807"/>
      <c r="Z15" s="4865"/>
      <c r="AA15" s="4807"/>
      <c r="AB15" s="4865"/>
      <c r="AC15" s="4884"/>
      <c r="AD15" s="4884"/>
      <c r="AE15" s="4884"/>
      <c r="AF15" s="4884"/>
      <c r="AG15" s="4884"/>
      <c r="AH15" s="4884"/>
      <c r="AI15" s="4884"/>
      <c r="AJ15" s="4884"/>
      <c r="AK15" s="4884"/>
      <c r="AL15" s="4884"/>
      <c r="AM15" s="4884"/>
      <c r="AN15" s="4884"/>
      <c r="AO15" s="4884"/>
      <c r="AP15" s="4884"/>
      <c r="AQ15" s="4884"/>
      <c r="AR15" s="4884"/>
      <c r="AS15" s="4884"/>
      <c r="AT15" s="4884"/>
      <c r="AU15" s="4884"/>
      <c r="AV15" s="4884"/>
      <c r="AW15" s="4884"/>
      <c r="AX15" s="4884"/>
      <c r="AY15" s="4884"/>
      <c r="AZ15" s="4884"/>
      <c r="BA15" s="4884"/>
      <c r="BB15" s="4884"/>
      <c r="BC15" s="4884"/>
      <c r="BD15" s="4884"/>
      <c r="BE15" s="4884"/>
      <c r="BF15" s="4884"/>
      <c r="BG15" s="4884"/>
      <c r="BH15" s="4884"/>
      <c r="BI15" s="4884"/>
      <c r="BJ15" s="4884"/>
      <c r="BK15" s="4884"/>
      <c r="BL15" s="4884"/>
      <c r="BM15" s="4884"/>
      <c r="BN15" s="4884"/>
      <c r="BO15" s="4884"/>
      <c r="BP15" s="4884"/>
      <c r="BQ15" s="4884"/>
      <c r="BR15" s="4884"/>
      <c r="BS15" s="4901"/>
      <c r="BT15" s="4807"/>
      <c r="BU15" s="4865"/>
      <c r="BV15" s="4807"/>
      <c r="BW15" s="4865"/>
      <c r="BX15" s="4807"/>
      <c r="BY15" s="4865"/>
      <c r="BZ15" s="4807"/>
      <c r="CA15" s="4865"/>
      <c r="CB15" s="4807"/>
      <c r="CC15" s="4865"/>
      <c r="CD15" s="4807"/>
      <c r="CE15" s="4865"/>
      <c r="CF15" s="4807"/>
      <c r="CG15" s="4865"/>
      <c r="CH15" s="4807"/>
      <c r="CI15" s="4865"/>
      <c r="CJ15" s="4807"/>
      <c r="CK15" s="4865"/>
      <c r="CL15" s="4885"/>
      <c r="CM15" s="4884"/>
      <c r="CN15" s="4884"/>
      <c r="CO15" s="4884"/>
      <c r="CP15" s="4884"/>
      <c r="CQ15" s="4884"/>
      <c r="CR15" s="4884"/>
      <c r="CS15" s="4884"/>
      <c r="CT15" s="4884"/>
      <c r="CU15" s="4884"/>
      <c r="CV15" s="4884"/>
      <c r="CW15" s="4884"/>
      <c r="CX15" s="4901"/>
      <c r="CY15" s="4807"/>
      <c r="CZ15" s="4865"/>
      <c r="DA15" s="4807"/>
      <c r="DB15" s="4865"/>
      <c r="DC15" s="4807"/>
      <c r="DD15" s="4865"/>
      <c r="DE15" s="4807"/>
      <c r="DF15" s="4865"/>
      <c r="DG15" s="4807"/>
      <c r="DH15" s="4865"/>
      <c r="DI15" s="4807"/>
      <c r="DJ15" s="4865"/>
      <c r="DK15" s="4885"/>
      <c r="DL15" s="4884"/>
      <c r="DM15" s="4884"/>
      <c r="DN15" s="4884"/>
      <c r="DO15" s="4884"/>
      <c r="DP15" s="4884"/>
      <c r="DQ15" s="4884"/>
      <c r="DR15" s="4884"/>
      <c r="DS15" s="4884"/>
      <c r="DT15" s="4884"/>
      <c r="DU15" s="4884"/>
      <c r="DV15" s="4884"/>
      <c r="DW15" s="4884"/>
      <c r="DX15" s="4884"/>
      <c r="DY15" s="4884"/>
      <c r="DZ15" s="4884"/>
      <c r="EA15" s="4884"/>
      <c r="EB15" s="4884"/>
      <c r="EC15" s="4884"/>
      <c r="ED15" s="4884"/>
      <c r="EE15" s="4884"/>
      <c r="EF15" s="4884"/>
      <c r="EG15" s="4884"/>
      <c r="EH15" s="4884"/>
      <c r="EI15" s="4884"/>
      <c r="EJ15" s="4884"/>
      <c r="EK15" s="4884"/>
      <c r="EL15" s="4884"/>
      <c r="EM15" s="4884"/>
      <c r="EN15" s="4884"/>
      <c r="EO15" s="4884"/>
      <c r="EP15" s="4884"/>
      <c r="EQ15" s="4884"/>
      <c r="ER15" s="4884"/>
      <c r="ES15" s="4884"/>
      <c r="ET15" s="4884"/>
      <c r="EU15" s="4884"/>
      <c r="EV15" s="4884"/>
      <c r="EW15" s="4884"/>
      <c r="EX15" s="4884"/>
      <c r="EY15" s="4884"/>
      <c r="EZ15" s="4884"/>
      <c r="FA15" s="4884"/>
      <c r="FB15" s="4884"/>
      <c r="FC15" s="4884"/>
      <c r="FD15" s="4884"/>
      <c r="FE15" s="4884"/>
      <c r="FF15" s="4884"/>
      <c r="FG15" s="4884"/>
      <c r="FH15" s="4884"/>
      <c r="FI15" s="4884"/>
      <c r="FJ15" s="4884"/>
      <c r="FK15" s="4884"/>
      <c r="FL15" s="4884"/>
      <c r="FM15" s="4884"/>
      <c r="FN15" s="4884"/>
      <c r="FO15" s="4884"/>
      <c r="FP15" s="4884"/>
      <c r="FQ15" s="4884"/>
      <c r="FR15" s="4884"/>
      <c r="FS15" s="4884"/>
      <c r="FT15" s="4884"/>
      <c r="FU15" s="4884"/>
      <c r="FV15" s="4884"/>
      <c r="FW15" s="4896"/>
      <c r="FX15" s="680"/>
    </row>
    <row r="16" spans="2:180" ht="12" customHeight="1">
      <c r="D16" s="848"/>
      <c r="E16" s="847"/>
      <c r="F16" s="4714"/>
      <c r="G16" s="4714"/>
      <c r="H16" s="4714"/>
      <c r="I16" s="4714"/>
      <c r="J16" s="4886"/>
      <c r="K16" s="4886"/>
      <c r="L16" s="4886"/>
      <c r="M16" s="4886"/>
      <c r="N16" s="4886"/>
      <c r="O16" s="4881" t="s">
        <v>875</v>
      </c>
      <c r="P16" s="4883"/>
      <c r="Q16" s="4881" t="s">
        <v>877</v>
      </c>
      <c r="R16" s="4883"/>
      <c r="S16" s="4881" t="s">
        <v>881</v>
      </c>
      <c r="T16" s="4883"/>
      <c r="U16" s="4881" t="s">
        <v>886</v>
      </c>
      <c r="V16" s="4883"/>
      <c r="W16" s="4881" t="s">
        <v>889</v>
      </c>
      <c r="X16" s="4883"/>
      <c r="Y16" s="4881" t="s">
        <v>893</v>
      </c>
      <c r="Z16" s="4883"/>
      <c r="AA16" s="4881" t="s">
        <v>896</v>
      </c>
      <c r="AB16" s="4883"/>
      <c r="AC16" s="4884"/>
      <c r="AD16" s="4884"/>
      <c r="AE16" s="4884"/>
      <c r="AF16" s="4884"/>
      <c r="AG16" s="4884"/>
      <c r="AH16" s="4884"/>
      <c r="AI16" s="4884"/>
      <c r="AJ16" s="4884"/>
      <c r="AK16" s="4884"/>
      <c r="AL16" s="4884"/>
      <c r="AM16" s="4884"/>
      <c r="AN16" s="4884"/>
      <c r="AO16" s="4884"/>
      <c r="AP16" s="4884"/>
      <c r="AQ16" s="4884"/>
      <c r="AR16" s="4884"/>
      <c r="AS16" s="4884"/>
      <c r="AT16" s="4884"/>
      <c r="AU16" s="4884"/>
      <c r="AV16" s="4884"/>
      <c r="AW16" s="4884"/>
      <c r="AX16" s="4884"/>
      <c r="AY16" s="4884"/>
      <c r="AZ16" s="4884"/>
      <c r="BA16" s="4884"/>
      <c r="BB16" s="4884"/>
      <c r="BC16" s="4884"/>
      <c r="BD16" s="4884"/>
      <c r="BE16" s="4884"/>
      <c r="BF16" s="4884"/>
      <c r="BG16" s="4884"/>
      <c r="BH16" s="4884"/>
      <c r="BI16" s="4884"/>
      <c r="BJ16" s="4884"/>
      <c r="BK16" s="4884"/>
      <c r="BL16" s="4884"/>
      <c r="BM16" s="4884"/>
      <c r="BN16" s="4884"/>
      <c r="BO16" s="4884"/>
      <c r="BP16" s="4884"/>
      <c r="BQ16" s="4884"/>
      <c r="BR16" s="4884"/>
      <c r="BS16" s="4901"/>
      <c r="BT16" s="4881" t="s">
        <v>693</v>
      </c>
      <c r="BU16" s="4883"/>
      <c r="BV16" s="4881" t="s">
        <v>693</v>
      </c>
      <c r="BW16" s="4883"/>
      <c r="BX16" s="4881" t="s">
        <v>693</v>
      </c>
      <c r="BY16" s="4883"/>
      <c r="BZ16" s="4881" t="s">
        <v>693</v>
      </c>
      <c r="CA16" s="4883"/>
      <c r="CB16" s="4881" t="s">
        <v>1158</v>
      </c>
      <c r="CC16" s="4883"/>
      <c r="CD16" s="4881" t="s">
        <v>693</v>
      </c>
      <c r="CE16" s="4883"/>
      <c r="CF16" s="4881" t="s">
        <v>1159</v>
      </c>
      <c r="CG16" s="4883"/>
      <c r="CH16" s="4881" t="s">
        <v>1160</v>
      </c>
      <c r="CI16" s="4883"/>
      <c r="CJ16" s="4881" t="s">
        <v>1160</v>
      </c>
      <c r="CK16" s="4883"/>
      <c r="CL16" s="4885"/>
      <c r="CM16" s="4884"/>
      <c r="CN16" s="4884"/>
      <c r="CO16" s="4884"/>
      <c r="CP16" s="4884"/>
      <c r="CQ16" s="4884"/>
      <c r="CR16" s="4884"/>
      <c r="CS16" s="4884"/>
      <c r="CT16" s="4884"/>
      <c r="CU16" s="4884"/>
      <c r="CV16" s="4884"/>
      <c r="CW16" s="4884"/>
      <c r="CX16" s="4901"/>
      <c r="CY16" s="4805" t="s">
        <v>693</v>
      </c>
      <c r="CZ16" s="4864"/>
      <c r="DA16" s="4805" t="s">
        <v>693</v>
      </c>
      <c r="DB16" s="4864"/>
      <c r="DC16" s="4805" t="s">
        <v>693</v>
      </c>
      <c r="DD16" s="4864"/>
      <c r="DE16" s="4881" t="s">
        <v>1158</v>
      </c>
      <c r="DF16" s="4883"/>
      <c r="DG16" s="4881" t="s">
        <v>1161</v>
      </c>
      <c r="DH16" s="4883"/>
      <c r="DI16" s="4881" t="s">
        <v>1161</v>
      </c>
      <c r="DJ16" s="4883"/>
      <c r="DK16" s="4885"/>
      <c r="DL16" s="4884"/>
      <c r="DM16" s="4884"/>
      <c r="DN16" s="4884"/>
      <c r="DO16" s="4884"/>
      <c r="DP16" s="4884"/>
      <c r="DQ16" s="4884"/>
      <c r="DR16" s="4884"/>
      <c r="DS16" s="4884"/>
      <c r="DT16" s="4884"/>
      <c r="DU16" s="4884"/>
      <c r="DV16" s="4884"/>
      <c r="DW16" s="4884"/>
      <c r="DX16" s="4884"/>
      <c r="DY16" s="4884"/>
      <c r="DZ16" s="4884"/>
      <c r="EA16" s="4884"/>
      <c r="EB16" s="4884"/>
      <c r="EC16" s="4884"/>
      <c r="ED16" s="4884"/>
      <c r="EE16" s="4884"/>
      <c r="EF16" s="4884"/>
      <c r="EG16" s="4884"/>
      <c r="EH16" s="4884"/>
      <c r="EI16" s="4884"/>
      <c r="EJ16" s="4884"/>
      <c r="EK16" s="4884"/>
      <c r="EL16" s="4884"/>
      <c r="EM16" s="4884"/>
      <c r="EN16" s="4884"/>
      <c r="EO16" s="4884"/>
      <c r="EP16" s="4884"/>
      <c r="EQ16" s="4884"/>
      <c r="ER16" s="4884"/>
      <c r="ES16" s="4884"/>
      <c r="ET16" s="4884"/>
      <c r="EU16" s="4884"/>
      <c r="EV16" s="4884"/>
      <c r="EW16" s="4884"/>
      <c r="EX16" s="4884"/>
      <c r="EY16" s="4884"/>
      <c r="EZ16" s="4884"/>
      <c r="FA16" s="4884"/>
      <c r="FB16" s="4884"/>
      <c r="FC16" s="4884"/>
      <c r="FD16" s="4884"/>
      <c r="FE16" s="4884"/>
      <c r="FF16" s="4884"/>
      <c r="FG16" s="4884"/>
      <c r="FH16" s="4884"/>
      <c r="FI16" s="4884"/>
      <c r="FJ16" s="4884"/>
      <c r="FK16" s="4884"/>
      <c r="FL16" s="4884"/>
      <c r="FM16" s="4884"/>
      <c r="FN16" s="4884"/>
      <c r="FO16" s="4884"/>
      <c r="FP16" s="4884"/>
      <c r="FQ16" s="4884"/>
      <c r="FR16" s="4884"/>
      <c r="FS16" s="4884"/>
      <c r="FT16" s="4884"/>
      <c r="FU16" s="4884"/>
      <c r="FV16" s="4884"/>
      <c r="FW16" s="4896"/>
      <c r="FX16" s="680"/>
    </row>
    <row r="17" spans="1:184" ht="15" customHeight="1">
      <c r="E17" s="847"/>
      <c r="F17" s="4714"/>
      <c r="G17" s="4714"/>
      <c r="H17" s="4714"/>
      <c r="I17" s="4714"/>
      <c r="J17" s="4886"/>
      <c r="K17" s="4886"/>
      <c r="L17" s="4886"/>
      <c r="M17" s="4886"/>
      <c r="N17" s="4886"/>
      <c r="O17" s="1094" t="s">
        <v>1162</v>
      </c>
      <c r="P17" s="1094" t="s">
        <v>1163</v>
      </c>
      <c r="Q17" s="1094" t="s">
        <v>1162</v>
      </c>
      <c r="R17" s="1094" t="s">
        <v>1163</v>
      </c>
      <c r="S17" s="1094" t="s">
        <v>1162</v>
      </c>
      <c r="T17" s="1094" t="s">
        <v>1163</v>
      </c>
      <c r="U17" s="1094" t="s">
        <v>1162</v>
      </c>
      <c r="V17" s="1094" t="s">
        <v>1163</v>
      </c>
      <c r="W17" s="1094" t="s">
        <v>1162</v>
      </c>
      <c r="X17" s="1094" t="s">
        <v>1163</v>
      </c>
      <c r="Y17" s="1094" t="s">
        <v>1162</v>
      </c>
      <c r="Z17" s="1094" t="s">
        <v>1163</v>
      </c>
      <c r="AA17" s="1094" t="s">
        <v>1162</v>
      </c>
      <c r="AB17" s="1094" t="s">
        <v>1163</v>
      </c>
      <c r="AC17" s="4884"/>
      <c r="AD17" s="4884"/>
      <c r="AE17" s="4884"/>
      <c r="AF17" s="4884"/>
      <c r="AG17" s="4884"/>
      <c r="AH17" s="4884"/>
      <c r="AI17" s="4884"/>
      <c r="AJ17" s="4884"/>
      <c r="AK17" s="4884"/>
      <c r="AL17" s="4884"/>
      <c r="AM17" s="4884"/>
      <c r="AN17" s="4884"/>
      <c r="AO17" s="4884"/>
      <c r="AP17" s="4884"/>
      <c r="AQ17" s="4884"/>
      <c r="AR17" s="4884"/>
      <c r="AS17" s="4884"/>
      <c r="AT17" s="4884"/>
      <c r="AU17" s="4884"/>
      <c r="AV17" s="4884"/>
      <c r="AW17" s="4884"/>
      <c r="AX17" s="4884"/>
      <c r="AY17" s="4884"/>
      <c r="AZ17" s="4884"/>
      <c r="BA17" s="4884"/>
      <c r="BB17" s="4884"/>
      <c r="BC17" s="4884"/>
      <c r="BD17" s="4884"/>
      <c r="BE17" s="4884"/>
      <c r="BF17" s="4884"/>
      <c r="BG17" s="4884"/>
      <c r="BH17" s="4884"/>
      <c r="BI17" s="4884"/>
      <c r="BJ17" s="4884"/>
      <c r="BK17" s="4884"/>
      <c r="BL17" s="4884"/>
      <c r="BM17" s="4884"/>
      <c r="BN17" s="4884"/>
      <c r="BO17" s="4884"/>
      <c r="BP17" s="4884"/>
      <c r="BQ17" s="4884"/>
      <c r="BR17" s="4884"/>
      <c r="BS17" s="4901"/>
      <c r="BT17" s="1094" t="s">
        <v>1162</v>
      </c>
      <c r="BU17" s="1094" t="s">
        <v>1163</v>
      </c>
      <c r="BV17" s="1094" t="s">
        <v>1162</v>
      </c>
      <c r="BW17" s="1094" t="s">
        <v>1163</v>
      </c>
      <c r="BX17" s="1094" t="s">
        <v>1162</v>
      </c>
      <c r="BY17" s="1094" t="s">
        <v>1163</v>
      </c>
      <c r="BZ17" s="1094" t="s">
        <v>1162</v>
      </c>
      <c r="CA17" s="1094" t="s">
        <v>1163</v>
      </c>
      <c r="CB17" s="1094" t="s">
        <v>1162</v>
      </c>
      <c r="CC17" s="1094" t="s">
        <v>1163</v>
      </c>
      <c r="CD17" s="1094" t="s">
        <v>1162</v>
      </c>
      <c r="CE17" s="1094" t="s">
        <v>1163</v>
      </c>
      <c r="CF17" s="1094" t="s">
        <v>1162</v>
      </c>
      <c r="CG17" s="1094" t="s">
        <v>1163</v>
      </c>
      <c r="CH17" s="1094" t="s">
        <v>1162</v>
      </c>
      <c r="CI17" s="1094" t="s">
        <v>1163</v>
      </c>
      <c r="CJ17" s="1094" t="s">
        <v>1162</v>
      </c>
      <c r="CK17" s="1094" t="s">
        <v>1163</v>
      </c>
      <c r="CL17" s="4885"/>
      <c r="CM17" s="4884"/>
      <c r="CN17" s="4884"/>
      <c r="CO17" s="4884"/>
      <c r="CP17" s="4884"/>
      <c r="CQ17" s="4884"/>
      <c r="CR17" s="4884"/>
      <c r="CS17" s="4884"/>
      <c r="CT17" s="4884"/>
      <c r="CU17" s="4884"/>
      <c r="CV17" s="4884"/>
      <c r="CW17" s="4884"/>
      <c r="CX17" s="4901"/>
      <c r="CY17" s="1094" t="s">
        <v>1162</v>
      </c>
      <c r="CZ17" s="1094" t="s">
        <v>1163</v>
      </c>
      <c r="DA17" s="1094" t="s">
        <v>1162</v>
      </c>
      <c r="DB17" s="1094" t="s">
        <v>1163</v>
      </c>
      <c r="DC17" s="1094" t="s">
        <v>1162</v>
      </c>
      <c r="DD17" s="1094" t="s">
        <v>1163</v>
      </c>
      <c r="DE17" s="1094" t="s">
        <v>1162</v>
      </c>
      <c r="DF17" s="1094" t="s">
        <v>1163</v>
      </c>
      <c r="DG17" s="1094" t="s">
        <v>1162</v>
      </c>
      <c r="DH17" s="1094" t="s">
        <v>1163</v>
      </c>
      <c r="DI17" s="1094" t="s">
        <v>1162</v>
      </c>
      <c r="DJ17" s="1094" t="s">
        <v>1163</v>
      </c>
      <c r="DK17" s="4885"/>
      <c r="DL17" s="4884"/>
      <c r="DM17" s="4884"/>
      <c r="DN17" s="4884"/>
      <c r="DO17" s="4884"/>
      <c r="DP17" s="4884"/>
      <c r="DQ17" s="4884"/>
      <c r="DR17" s="4884"/>
      <c r="DS17" s="4884"/>
      <c r="DT17" s="4884"/>
      <c r="DU17" s="4884"/>
      <c r="DV17" s="4884"/>
      <c r="DW17" s="4884"/>
      <c r="DX17" s="4884"/>
      <c r="DY17" s="4884"/>
      <c r="DZ17" s="4884"/>
      <c r="EA17" s="4884"/>
      <c r="EB17" s="4884"/>
      <c r="EC17" s="4884"/>
      <c r="ED17" s="4884"/>
      <c r="EE17" s="4884"/>
      <c r="EF17" s="4884"/>
      <c r="EG17" s="4884"/>
      <c r="EH17" s="4884"/>
      <c r="EI17" s="4884"/>
      <c r="EJ17" s="4884"/>
      <c r="EK17" s="4884"/>
      <c r="EL17" s="4884"/>
      <c r="EM17" s="4884"/>
      <c r="EN17" s="4884"/>
      <c r="EO17" s="4884"/>
      <c r="EP17" s="4884"/>
      <c r="EQ17" s="4884"/>
      <c r="ER17" s="4884"/>
      <c r="ES17" s="4884"/>
      <c r="ET17" s="4884"/>
      <c r="EU17" s="4884"/>
      <c r="EV17" s="4884"/>
      <c r="EW17" s="4884"/>
      <c r="EX17" s="4884"/>
      <c r="EY17" s="4884"/>
      <c r="EZ17" s="4884"/>
      <c r="FA17" s="4884"/>
      <c r="FB17" s="4884"/>
      <c r="FC17" s="4884"/>
      <c r="FD17" s="4884"/>
      <c r="FE17" s="4884"/>
      <c r="FF17" s="4884"/>
      <c r="FG17" s="4884"/>
      <c r="FH17" s="4884"/>
      <c r="FI17" s="4884"/>
      <c r="FJ17" s="4884"/>
      <c r="FK17" s="4884"/>
      <c r="FL17" s="4884"/>
      <c r="FM17" s="4884"/>
      <c r="FN17" s="4884"/>
      <c r="FO17" s="4884"/>
      <c r="FP17" s="4884"/>
      <c r="FQ17" s="4884"/>
      <c r="FR17" s="4884"/>
      <c r="FS17" s="4884"/>
      <c r="FT17" s="4884"/>
      <c r="FU17" s="4884"/>
      <c r="FV17" s="4884"/>
      <c r="FW17" s="4897"/>
      <c r="FX17" s="680"/>
    </row>
    <row r="18" spans="1:184" s="4087" customFormat="1" ht="12" hidden="1" customHeight="1">
      <c r="B18" s="836"/>
      <c r="E18" s="849"/>
      <c r="F18" s="1095"/>
      <c r="G18" s="1095"/>
      <c r="H18" s="1095"/>
      <c r="I18" s="1095"/>
      <c r="J18" s="1096"/>
      <c r="K18" s="1096"/>
      <c r="L18" s="1096"/>
      <c r="M18" s="1096"/>
      <c r="N18" s="1096"/>
      <c r="O18" s="1095"/>
      <c r="P18" s="1095"/>
      <c r="Q18" s="1095"/>
      <c r="R18" s="1095"/>
      <c r="S18" s="1095"/>
      <c r="T18" s="1095"/>
      <c r="U18" s="1097"/>
      <c r="V18" s="1097"/>
      <c r="W18" s="1097"/>
      <c r="X18" s="1097"/>
      <c r="Y18" s="1097"/>
      <c r="Z18" s="1097"/>
      <c r="AA18" s="1097"/>
      <c r="AB18" s="1095"/>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6"/>
      <c r="BI18" s="1096"/>
      <c r="BJ18" s="1096"/>
      <c r="BK18" s="1096"/>
      <c r="BL18" s="1096"/>
      <c r="BM18" s="1096"/>
      <c r="BN18" s="1096"/>
      <c r="BO18" s="1096"/>
      <c r="BP18" s="1096"/>
      <c r="BQ18" s="1096"/>
      <c r="BR18" s="1096"/>
      <c r="BS18" s="1096"/>
      <c r="BT18" s="1098"/>
      <c r="BU18" s="1098"/>
      <c r="BV18" s="1098"/>
      <c r="BW18" s="1098"/>
      <c r="BX18" s="1098"/>
      <c r="BY18" s="1098"/>
      <c r="BZ18" s="1098"/>
      <c r="CA18" s="1098"/>
      <c r="CB18" s="1098"/>
      <c r="CC18" s="1098"/>
      <c r="CD18" s="1098"/>
      <c r="CE18" s="1098"/>
      <c r="CF18" s="1098"/>
      <c r="CG18" s="1098"/>
      <c r="CH18" s="1098"/>
      <c r="CI18" s="1098"/>
      <c r="CJ18" s="1098"/>
      <c r="CK18" s="1098"/>
      <c r="CL18" s="1096"/>
      <c r="CM18" s="1096"/>
      <c r="CN18" s="1096"/>
      <c r="CO18" s="1096"/>
      <c r="CP18" s="1096"/>
      <c r="CQ18" s="1096"/>
      <c r="CR18" s="1096"/>
      <c r="CS18" s="1096"/>
      <c r="CT18" s="1096"/>
      <c r="CU18" s="1096"/>
      <c r="CV18" s="1096"/>
      <c r="CW18" s="1096"/>
      <c r="CX18" s="1096"/>
      <c r="CY18" s="1098"/>
      <c r="CZ18" s="1098"/>
      <c r="DA18" s="1098"/>
      <c r="DB18" s="1098"/>
      <c r="DC18" s="1098"/>
      <c r="DD18" s="1098"/>
      <c r="DE18" s="1098"/>
      <c r="DF18" s="1098"/>
      <c r="DG18" s="1098"/>
      <c r="DH18" s="1098"/>
      <c r="DI18" s="1098"/>
      <c r="DJ18" s="1098"/>
      <c r="DK18" s="1096"/>
      <c r="DL18" s="1096"/>
      <c r="DM18" s="1096"/>
      <c r="DN18" s="1096"/>
      <c r="DO18" s="1096"/>
      <c r="DP18" s="1096"/>
      <c r="DQ18" s="1096"/>
      <c r="DR18" s="1096"/>
      <c r="DS18" s="1096"/>
      <c r="DT18" s="1096"/>
      <c r="DU18" s="1096"/>
      <c r="DV18" s="1096"/>
      <c r="DW18" s="1096"/>
      <c r="DX18" s="1096"/>
      <c r="DY18" s="1096"/>
      <c r="DZ18" s="1096"/>
      <c r="EA18" s="1096"/>
      <c r="EB18" s="1096"/>
      <c r="EC18" s="1096"/>
      <c r="ED18" s="1096"/>
      <c r="EE18" s="1096"/>
      <c r="EF18" s="1096"/>
      <c r="EG18" s="1096"/>
      <c r="EH18" s="1096"/>
      <c r="EI18" s="1096"/>
      <c r="EJ18" s="1096"/>
      <c r="EK18" s="1096"/>
      <c r="EL18" s="1096"/>
      <c r="EM18" s="1096"/>
      <c r="EN18" s="1096"/>
      <c r="EO18" s="1096"/>
      <c r="EP18" s="1096"/>
      <c r="EQ18" s="1096"/>
      <c r="ER18" s="1096"/>
      <c r="ES18" s="1096"/>
      <c r="ET18" s="1096"/>
      <c r="EU18" s="1096"/>
      <c r="EV18" s="1096"/>
      <c r="EW18" s="1096"/>
      <c r="EX18" s="1096"/>
      <c r="EY18" s="1096"/>
      <c r="EZ18" s="1096"/>
      <c r="FA18" s="1096"/>
      <c r="FB18" s="1096"/>
      <c r="FC18" s="1096"/>
      <c r="FD18" s="1096"/>
      <c r="FE18" s="1096"/>
      <c r="FF18" s="1096"/>
      <c r="FG18" s="1096"/>
      <c r="FH18" s="1096"/>
      <c r="FI18" s="1096"/>
      <c r="FJ18" s="1096"/>
      <c r="FK18" s="1096"/>
      <c r="FL18" s="1096"/>
      <c r="FM18" s="1096"/>
      <c r="FN18" s="1096"/>
      <c r="FO18" s="1096"/>
      <c r="FP18" s="1096"/>
      <c r="FQ18" s="1096"/>
      <c r="FR18" s="1096"/>
      <c r="FS18" s="1096"/>
      <c r="FT18" s="1096"/>
      <c r="FU18" s="1096"/>
      <c r="FV18" s="1096"/>
      <c r="FW18" s="1095"/>
      <c r="FX18" s="1099"/>
    </row>
    <row r="19" spans="1:184" s="4087" customFormat="1" ht="11.25" hidden="1" customHeight="1">
      <c r="B19" s="836"/>
      <c r="E19" s="849"/>
      <c r="F19" s="1095"/>
      <c r="G19" s="1095"/>
      <c r="H19" s="1095"/>
      <c r="I19" s="1095"/>
      <c r="J19" s="1095"/>
      <c r="K19" s="1095"/>
      <c r="L19" s="1095"/>
      <c r="M19" s="1095"/>
      <c r="N19" s="1095"/>
      <c r="O19" s="1095"/>
      <c r="P19" s="1095"/>
      <c r="Q19" s="1095"/>
      <c r="R19" s="1095"/>
      <c r="S19" s="1095"/>
      <c r="T19" s="1095"/>
      <c r="U19" s="1097"/>
      <c r="V19" s="1097"/>
      <c r="W19" s="1097"/>
      <c r="X19" s="1097"/>
      <c r="Y19" s="1097"/>
      <c r="Z19" s="1097"/>
      <c r="AA19" s="1097"/>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c r="EO19" s="1095"/>
      <c r="EP19" s="1095"/>
      <c r="EQ19" s="1095"/>
      <c r="ER19" s="1095"/>
      <c r="ES19" s="1095"/>
      <c r="ET19" s="1095"/>
      <c r="EU19" s="1095"/>
      <c r="EV19" s="1095"/>
      <c r="EW19" s="1095"/>
      <c r="EX19" s="1095"/>
      <c r="EY19" s="1095"/>
      <c r="EZ19" s="1095"/>
      <c r="FA19" s="1095"/>
      <c r="FB19" s="1095"/>
      <c r="FC19" s="1095"/>
      <c r="FD19" s="1095"/>
      <c r="FE19" s="1095"/>
      <c r="FF19" s="1095"/>
      <c r="FG19" s="1095"/>
      <c r="FH19" s="1095"/>
      <c r="FI19" s="1095"/>
      <c r="FJ19" s="1095"/>
      <c r="FK19" s="1095"/>
      <c r="FL19" s="1095"/>
      <c r="FM19" s="1095"/>
      <c r="FN19" s="1095"/>
      <c r="FO19" s="1095"/>
      <c r="FP19" s="1095"/>
      <c r="FQ19" s="1095"/>
      <c r="FR19" s="1095"/>
      <c r="FS19" s="1095"/>
      <c r="FT19" s="1095"/>
      <c r="FU19" s="1095"/>
      <c r="FV19" s="1095"/>
      <c r="FW19" s="1095"/>
      <c r="FX19" s="1099"/>
    </row>
    <row r="20" spans="1:184" s="4086" customFormat="1" ht="11.25" hidden="1" customHeight="1">
      <c r="B20" s="850"/>
      <c r="D20" s="837"/>
      <c r="E20" s="849"/>
      <c r="F20" s="1100" t="s">
        <v>517</v>
      </c>
      <c r="G20" s="1101"/>
      <c r="H20" s="1102"/>
      <c r="I20" s="1102"/>
      <c r="J20" s="1102"/>
      <c r="K20" s="1102"/>
      <c r="L20" s="1102"/>
      <c r="M20" s="1102"/>
      <c r="N20" s="1102"/>
      <c r="O20" s="1101"/>
      <c r="P20" s="1101"/>
      <c r="Q20" s="1101"/>
      <c r="R20" s="1101"/>
      <c r="S20" s="1101"/>
      <c r="T20" s="1101"/>
      <c r="U20" s="1103"/>
      <c r="V20" s="1103"/>
      <c r="W20" s="1103"/>
      <c r="X20" s="1103"/>
      <c r="Y20" s="1103"/>
      <c r="Z20" s="1103"/>
      <c r="AA20" s="1103"/>
      <c r="AB20" s="1101"/>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4"/>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4"/>
      <c r="DU20" s="1104"/>
      <c r="DV20" s="1104"/>
      <c r="DW20" s="1104"/>
      <c r="DX20" s="1104"/>
      <c r="DY20" s="1104"/>
      <c r="DZ20" s="1104"/>
      <c r="EA20" s="1104"/>
      <c r="EB20" s="1104"/>
      <c r="EC20" s="1104"/>
      <c r="ED20" s="1104"/>
      <c r="EE20" s="1104"/>
      <c r="EF20" s="1104"/>
      <c r="EG20" s="1104"/>
      <c r="EH20" s="1104"/>
      <c r="EI20" s="1104"/>
      <c r="EJ20" s="1104"/>
      <c r="EK20" s="1104"/>
      <c r="EL20" s="1104"/>
      <c r="EM20" s="1104"/>
      <c r="EN20" s="1104"/>
      <c r="EO20" s="1104"/>
      <c r="EP20" s="1104"/>
      <c r="EQ20" s="1104"/>
      <c r="ER20" s="1104"/>
      <c r="ES20" s="1104"/>
      <c r="ET20" s="1104"/>
      <c r="EU20" s="1104"/>
      <c r="EV20" s="1104"/>
      <c r="EW20" s="1104"/>
      <c r="EX20" s="1104"/>
      <c r="EY20" s="1104"/>
      <c r="EZ20" s="1104"/>
      <c r="FA20" s="1104"/>
      <c r="FB20" s="1104"/>
      <c r="FC20" s="1104"/>
      <c r="FD20" s="1104"/>
      <c r="FE20" s="1104"/>
      <c r="FF20" s="1104"/>
      <c r="FG20" s="1104"/>
      <c r="FH20" s="1104"/>
      <c r="FI20" s="1104"/>
      <c r="FJ20" s="1104"/>
      <c r="FK20" s="1104"/>
      <c r="FL20" s="1104"/>
      <c r="FM20" s="1104"/>
      <c r="FN20" s="1104"/>
      <c r="FO20" s="1104"/>
      <c r="FP20" s="1104"/>
      <c r="FQ20" s="1104"/>
      <c r="FR20" s="1104"/>
      <c r="FS20" s="1104"/>
      <c r="FT20" s="1104"/>
      <c r="FU20" s="1104"/>
      <c r="FV20" s="1104"/>
      <c r="FW20" s="1104"/>
      <c r="FX20" s="1105"/>
    </row>
    <row r="21" spans="1:184" s="4086"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4086" customFormat="1" ht="12" customHeight="1">
      <c r="A22" s="851"/>
      <c r="B22" s="851"/>
      <c r="C22" s="851"/>
      <c r="D22" s="851"/>
      <c r="E22" s="851"/>
      <c r="FX22" s="851"/>
      <c r="FY22" s="851"/>
      <c r="FZ22" s="851"/>
      <c r="GA22" s="851"/>
      <c r="GB22" s="851"/>
    </row>
    <row r="23" spans="1:184" s="4092" customFormat="1" ht="12" customHeight="1">
      <c r="A23" s="970"/>
      <c r="B23" s="970"/>
      <c r="C23" s="970"/>
      <c r="D23" s="970"/>
      <c r="E23" s="970"/>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FX23" s="970"/>
      <c r="FY23" s="970"/>
      <c r="FZ23" s="970"/>
      <c r="GA23" s="970"/>
      <c r="GB23" s="970"/>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L16"/>
  <sheetViews>
    <sheetView showGridLines="0" topLeftCell="C3" zoomScale="90" workbookViewId="0"/>
  </sheetViews>
  <sheetFormatPr defaultColWidth="9.140625" defaultRowHeight="11.25" customHeight="1"/>
  <cols>
    <col min="1" max="1" width="6.42578125" style="1847" hidden="1" customWidth="1"/>
    <col min="2" max="2" width="2" style="1847" hidden="1" customWidth="1"/>
    <col min="3" max="3" width="3.7109375" style="1847" customWidth="1"/>
    <col min="4" max="4" width="4.28515625" style="1847" customWidth="1"/>
    <col min="5" max="5" width="45" style="1847" customWidth="1"/>
    <col min="6" max="6" width="6.42578125" style="1847" customWidth="1"/>
    <col min="7" max="7" width="4.42578125" style="1847" customWidth="1"/>
    <col min="8" max="8" width="5.5703125" style="1847" customWidth="1"/>
    <col min="9" max="9" width="52.85546875" style="1847" customWidth="1"/>
    <col min="10" max="10" width="7" style="1847" customWidth="1"/>
    <col min="11" max="11" width="3.7109375" style="1847" customWidth="1"/>
    <col min="12" max="12" width="6.28515625" style="1847" customWidth="1"/>
    <col min="13" max="13" width="56.28515625" style="1847" customWidth="1"/>
    <col min="14" max="14" width="9.140625" style="1840"/>
    <col min="15" max="20" width="9.140625" style="1844" hidden="1"/>
    <col min="21" max="24" width="9.140625" style="1848" hidden="1"/>
    <col min="25" max="37" width="9.140625" style="1840" hidden="1"/>
    <col min="38" max="38" width="9.140625" style="1840"/>
  </cols>
  <sheetData>
    <row r="1" spans="1:38" ht="11.25" hidden="1" customHeight="1"/>
    <row r="2" spans="1:38" ht="11.25" hidden="1" customHeight="1"/>
    <row r="4" spans="1:38" ht="34.5" customHeight="1">
      <c r="A4" s="510"/>
      <c r="B4" s="510"/>
      <c r="D4" s="4620" t="str">
        <f>Титульный!E5</f>
        <v>Показатели, подлежащие раскрытию в сфере водоотведения (цены и тарифы)</v>
      </c>
      <c r="E4" s="4621"/>
      <c r="F4" s="4621"/>
      <c r="G4" s="4621"/>
      <c r="H4" s="4621"/>
      <c r="I4" s="4622"/>
      <c r="J4" s="509"/>
      <c r="K4" s="509"/>
      <c r="L4" s="509"/>
      <c r="M4" s="509"/>
    </row>
    <row r="5" spans="1:38" s="1841" customFormat="1" ht="15" customHeight="1">
      <c r="A5" s="510"/>
      <c r="B5" s="510"/>
      <c r="C5" s="510"/>
      <c r="D5" s="4623" t="str">
        <f>IF(org=0,"Не определено",org)</f>
        <v>ОГКП "Ульяновский областной водоканал"</v>
      </c>
      <c r="E5" s="4624"/>
      <c r="F5" s="4624"/>
      <c r="G5" s="4624"/>
      <c r="H5" s="4624"/>
      <c r="I5" s="4625"/>
      <c r="J5" s="511"/>
      <c r="K5" s="511"/>
      <c r="L5" s="511"/>
      <c r="M5" s="511"/>
      <c r="N5" s="511"/>
      <c r="O5" s="784"/>
      <c r="P5" s="784"/>
      <c r="Q5" s="784"/>
      <c r="R5" s="784"/>
      <c r="S5" s="784"/>
      <c r="T5" s="784"/>
      <c r="U5" s="1182"/>
      <c r="V5" s="1182"/>
      <c r="W5" s="1182"/>
      <c r="X5" s="1182"/>
      <c r="Y5" s="511"/>
      <c r="Z5" s="511"/>
      <c r="AA5" s="511"/>
      <c r="AB5" s="511"/>
      <c r="AC5" s="511"/>
      <c r="AD5" s="511"/>
      <c r="AE5" s="511"/>
      <c r="AF5" s="511"/>
      <c r="AG5" s="511"/>
      <c r="AH5" s="511"/>
      <c r="AI5" s="511"/>
      <c r="AJ5" s="511"/>
      <c r="AK5" s="511"/>
      <c r="AL5" s="511"/>
    </row>
    <row r="6" spans="1:38" s="1842" customFormat="1" ht="6" customHeight="1">
      <c r="A6" s="4601"/>
      <c r="B6" s="4601"/>
      <c r="C6" s="4601"/>
      <c r="D6" s="4601"/>
      <c r="E6" s="4601"/>
      <c r="F6" s="4601"/>
      <c r="G6" s="512"/>
      <c r="H6" s="512"/>
      <c r="I6" s="512"/>
      <c r="J6" s="512"/>
      <c r="K6" s="512"/>
      <c r="N6" s="514"/>
      <c r="O6" s="1331"/>
      <c r="P6" s="1331"/>
      <c r="Q6" s="1331"/>
      <c r="R6" s="1331"/>
      <c r="S6" s="1331"/>
      <c r="T6" s="1331"/>
      <c r="U6" s="1184"/>
      <c r="V6" s="1184"/>
      <c r="W6" s="1184"/>
      <c r="X6" s="1184"/>
      <c r="Y6" s="514"/>
      <c r="Z6" s="514"/>
      <c r="AA6" s="514"/>
      <c r="AB6" s="514"/>
      <c r="AC6" s="514"/>
      <c r="AD6" s="514"/>
      <c r="AE6" s="514"/>
      <c r="AF6" s="514"/>
      <c r="AG6" s="514"/>
      <c r="AH6" s="514"/>
      <c r="AI6" s="514"/>
      <c r="AJ6" s="514"/>
      <c r="AK6" s="514"/>
      <c r="AL6" s="514"/>
    </row>
    <row r="7" spans="1:38" ht="45.75" hidden="1" customHeight="1">
      <c r="E7" s="46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631"/>
      <c r="G7" s="4631"/>
      <c r="H7" s="4631"/>
      <c r="I7" s="4631"/>
      <c r="J7" s="4631"/>
      <c r="K7" s="4631"/>
      <c r="L7" s="4631"/>
      <c r="M7" s="4631"/>
    </row>
    <row r="8" spans="1:38" s="1841" customFormat="1" ht="6" customHeight="1">
      <c r="A8" s="515"/>
      <c r="B8" s="515"/>
      <c r="C8" s="515"/>
      <c r="D8" s="515"/>
      <c r="E8" s="515"/>
      <c r="F8" s="515"/>
      <c r="G8" s="515"/>
      <c r="H8" s="515"/>
      <c r="I8" s="515"/>
      <c r="J8" s="515"/>
      <c r="K8" s="515"/>
      <c r="L8" s="515"/>
      <c r="M8" s="513"/>
      <c r="N8" s="511"/>
      <c r="O8" s="784"/>
      <c r="P8" s="784"/>
      <c r="Q8" s="784"/>
      <c r="R8" s="784"/>
      <c r="S8" s="784"/>
      <c r="T8" s="784"/>
      <c r="U8" s="1182"/>
      <c r="V8" s="1182"/>
      <c r="W8" s="1182"/>
      <c r="X8" s="1182"/>
      <c r="Y8" s="511"/>
      <c r="Z8" s="511"/>
      <c r="AA8" s="511"/>
      <c r="AB8" s="511"/>
      <c r="AC8" s="511"/>
      <c r="AD8" s="511"/>
      <c r="AE8" s="511"/>
      <c r="AF8" s="511"/>
      <c r="AG8" s="511"/>
      <c r="AH8" s="511"/>
      <c r="AI8" s="511"/>
      <c r="AJ8" s="511"/>
      <c r="AK8" s="511"/>
      <c r="AL8" s="511"/>
    </row>
    <row r="9" spans="1:38" ht="18" customHeight="1">
      <c r="A9" s="4626"/>
      <c r="B9" s="249"/>
      <c r="C9" s="249"/>
      <c r="D9" s="4627" t="s">
        <v>170</v>
      </c>
      <c r="E9" s="4627"/>
      <c r="F9" s="4628" t="s">
        <v>171</v>
      </c>
      <c r="G9" s="4629"/>
      <c r="H9" s="4629"/>
      <c r="I9" s="4629"/>
      <c r="J9" s="4632" t="s">
        <v>172</v>
      </c>
      <c r="K9" s="4632"/>
      <c r="L9" s="4632"/>
      <c r="M9" s="4632"/>
    </row>
    <row r="10" spans="1:38" ht="22.5" customHeight="1">
      <c r="A10" s="4626"/>
      <c r="B10" s="516"/>
      <c r="C10" s="452"/>
      <c r="D10" s="450" t="s">
        <v>86</v>
      </c>
      <c r="E10" s="450" t="s">
        <v>87</v>
      </c>
      <c r="F10" s="450" t="s">
        <v>173</v>
      </c>
      <c r="G10" s="4633" t="s">
        <v>86</v>
      </c>
      <c r="H10" s="4634"/>
      <c r="I10" s="450" t="s">
        <v>87</v>
      </c>
      <c r="J10" s="450" t="s">
        <v>173</v>
      </c>
      <c r="K10" s="4633" t="s">
        <v>86</v>
      </c>
      <c r="L10" s="4634"/>
      <c r="M10" s="450" t="s">
        <v>87</v>
      </c>
      <c r="N10" s="1540"/>
    </row>
    <row r="11" spans="1:38" s="1843" customFormat="1" ht="11.25" hidden="1" customHeight="1">
      <c r="A11" s="517"/>
      <c r="B11" s="517"/>
      <c r="C11" s="517"/>
      <c r="D11" s="518" t="s">
        <v>174</v>
      </c>
      <c r="E11" s="518" t="s">
        <v>101</v>
      </c>
      <c r="F11" s="518" t="s">
        <v>88</v>
      </c>
      <c r="G11" s="4616" t="s">
        <v>89</v>
      </c>
      <c r="H11" s="4617"/>
      <c r="I11" s="518" t="s">
        <v>128</v>
      </c>
      <c r="J11" s="518" t="s">
        <v>90</v>
      </c>
      <c r="K11" s="4618" t="s">
        <v>91</v>
      </c>
      <c r="L11" s="4619"/>
      <c r="M11" s="518" t="s">
        <v>138</v>
      </c>
      <c r="N11" s="1539"/>
      <c r="O11" s="1330"/>
      <c r="P11" s="1332"/>
      <c r="Q11" s="1332"/>
      <c r="R11" s="1332"/>
      <c r="S11" s="1332"/>
      <c r="T11" s="1332"/>
      <c r="U11" s="1185"/>
      <c r="V11" s="1185"/>
      <c r="W11" s="1185"/>
      <c r="X11" s="1185"/>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7"/>
      <c r="H12" s="967"/>
      <c r="I12" s="523"/>
      <c r="J12" s="523"/>
      <c r="K12" s="95"/>
      <c r="L12" s="296"/>
      <c r="M12" s="524"/>
      <c r="N12" s="1540"/>
      <c r="O12" s="1330" t="s">
        <v>175</v>
      </c>
      <c r="P12" s="1330" t="s">
        <v>176</v>
      </c>
      <c r="Q12" s="1330" t="s">
        <v>177</v>
      </c>
      <c r="R12" s="1330" t="s">
        <v>178</v>
      </c>
    </row>
    <row r="13" spans="1:38" s="1845" customFormat="1" ht="15" customHeight="1">
      <c r="A13" s="212"/>
      <c r="B13" s="212"/>
      <c r="C13" s="453"/>
      <c r="D13" s="4609" t="s">
        <v>174</v>
      </c>
      <c r="E13" s="4610"/>
      <c r="F13" s="4613" t="s">
        <v>65</v>
      </c>
      <c r="G13" s="4614"/>
      <c r="H13" s="4615">
        <v>1</v>
      </c>
      <c r="I13" s="4606" t="str">
        <f>IF(U13="","",INDEX(TERRITORY_MR_LIST,MATCH(U13,TERRITORY_LIST_ID,0)))</f>
        <v/>
      </c>
      <c r="J13" s="4608" t="s">
        <v>55</v>
      </c>
      <c r="K13" s="525"/>
      <c r="L13" s="454" t="s">
        <v>174</v>
      </c>
      <c r="M13" s="526" t="s">
        <v>24</v>
      </c>
      <c r="N13" s="730"/>
      <c r="O13" s="1333" t="s">
        <v>179</v>
      </c>
      <c r="P13" s="1330">
        <f>$E$13</f>
        <v>0</v>
      </c>
      <c r="Q13" s="1330" t="str">
        <f>IF($F$13="нет","без дифференциации",$I$13)</f>
        <v/>
      </c>
      <c r="R13" s="1330" t="str">
        <f>IF($J$13="нет","без дифференциации",M13)</f>
        <v>без дифференциации</v>
      </c>
      <c r="S13" s="1333"/>
      <c r="T13" s="1333"/>
      <c r="U13" s="1186"/>
      <c r="V13" s="1186"/>
      <c r="W13" s="1186"/>
      <c r="X13" s="1186"/>
      <c r="Y13" s="527" t="s">
        <v>180</v>
      </c>
      <c r="Z13" s="527">
        <v>1705000</v>
      </c>
      <c r="AA13" s="527"/>
      <c r="AB13" s="527"/>
      <c r="AC13" s="527"/>
      <c r="AD13" s="527"/>
      <c r="AE13" s="527"/>
      <c r="AF13" s="527"/>
      <c r="AG13" s="527"/>
      <c r="AH13" s="527"/>
      <c r="AI13" s="527"/>
      <c r="AJ13" s="527"/>
      <c r="AK13" s="527"/>
      <c r="AL13" s="527"/>
    </row>
    <row r="14" spans="1:38" s="1845" customFormat="1" ht="15" customHeight="1">
      <c r="A14" s="212"/>
      <c r="B14" s="212"/>
      <c r="C14" s="97"/>
      <c r="D14" s="4609"/>
      <c r="E14" s="4611"/>
      <c r="F14" s="4608"/>
      <c r="G14" s="4614"/>
      <c r="H14" s="4615"/>
      <c r="I14" s="4607"/>
      <c r="J14" s="4608"/>
      <c r="K14" s="355"/>
      <c r="L14" s="98"/>
      <c r="M14" s="529" t="s">
        <v>181</v>
      </c>
      <c r="N14" s="730"/>
      <c r="O14" s="1333"/>
      <c r="P14" s="1330"/>
      <c r="Q14" s="1330"/>
      <c r="R14" s="1330"/>
      <c r="S14" s="1333"/>
      <c r="T14" s="1333"/>
      <c r="U14" s="1186"/>
      <c r="V14" s="1186"/>
      <c r="W14" s="1186"/>
      <c r="X14" s="1186"/>
      <c r="Y14" s="527"/>
      <c r="Z14" s="527"/>
      <c r="AA14" s="527"/>
      <c r="AB14" s="527"/>
      <c r="AC14" s="527"/>
      <c r="AD14" s="527"/>
      <c r="AE14" s="527"/>
      <c r="AF14" s="527"/>
      <c r="AG14" s="527"/>
      <c r="AH14" s="527"/>
      <c r="AI14" s="527"/>
      <c r="AJ14" s="527"/>
      <c r="AK14" s="527"/>
      <c r="AL14" s="527"/>
    </row>
    <row r="15" spans="1:38" s="1845" customFormat="1" ht="15" customHeight="1">
      <c r="A15" s="212"/>
      <c r="B15" s="212"/>
      <c r="C15" s="97"/>
      <c r="D15" s="4609"/>
      <c r="E15" s="4612"/>
      <c r="F15" s="4608"/>
      <c r="G15" s="968"/>
      <c r="H15" s="969"/>
      <c r="I15" s="506" t="s">
        <v>182</v>
      </c>
      <c r="J15" s="98"/>
      <c r="K15" s="98"/>
      <c r="L15" s="98"/>
      <c r="M15" s="530"/>
      <c r="N15" s="730"/>
      <c r="O15" s="1333"/>
      <c r="P15" s="1330"/>
      <c r="Q15" s="1330"/>
      <c r="R15" s="1330"/>
      <c r="S15" s="1333"/>
      <c r="T15" s="1333"/>
      <c r="U15" s="1186"/>
      <c r="V15" s="1186"/>
      <c r="W15" s="1186"/>
      <c r="X15" s="1186"/>
      <c r="Y15" s="527"/>
      <c r="Z15" s="527"/>
      <c r="AA15" s="527"/>
      <c r="AB15" s="527"/>
      <c r="AC15" s="527"/>
      <c r="AD15" s="527"/>
      <c r="AE15" s="527"/>
      <c r="AF15" s="527"/>
      <c r="AG15" s="527"/>
      <c r="AH15" s="527"/>
      <c r="AI15" s="527"/>
      <c r="AJ15" s="527"/>
      <c r="AK15" s="527"/>
      <c r="AL15" s="527"/>
    </row>
    <row r="16" spans="1:38" ht="15" customHeight="1">
      <c r="A16" s="531"/>
      <c r="B16" s="61"/>
      <c r="C16" s="724"/>
      <c r="D16" s="355"/>
      <c r="E16" s="497" t="s">
        <v>183</v>
      </c>
      <c r="F16" s="98"/>
      <c r="G16" s="98"/>
      <c r="H16" s="98"/>
      <c r="I16" s="98"/>
      <c r="J16" s="98"/>
      <c r="K16" s="98" t="s">
        <v>24</v>
      </c>
      <c r="L16" s="98"/>
      <c r="M16" s="530"/>
      <c r="N16" s="154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theme="2" tint="-9.9978637043366805E-2"/>
  </sheetPr>
  <dimension ref="A1:R22"/>
  <sheetViews>
    <sheetView showGridLines="0" topLeftCell="C4" zoomScale="90" workbookViewId="0"/>
  </sheetViews>
  <sheetFormatPr defaultColWidth="10.5703125" defaultRowHeight="15" customHeight="1"/>
  <cols>
    <col min="1" max="1" width="9.140625" style="1936" hidden="1" customWidth="1"/>
    <col min="2" max="2" width="9.140625" style="1938" hidden="1" customWidth="1"/>
    <col min="3" max="3" width="4.7109375" style="4080" customWidth="1"/>
    <col min="4" max="4" width="6.28515625" style="1938" customWidth="1"/>
    <col min="5" max="5" width="36.7109375" style="1938" customWidth="1"/>
    <col min="6" max="6" width="9.5703125" style="1938" customWidth="1"/>
    <col min="7" max="7" width="42.42578125" style="1824" hidden="1" customWidth="1"/>
    <col min="8" max="8" width="40.7109375" style="1938" customWidth="1"/>
    <col min="9" max="9" width="93.42578125" style="1825" customWidth="1"/>
    <col min="10" max="17" width="10.5703125" style="1938"/>
    <col min="18" max="18" width="10.5703125" style="4079"/>
  </cols>
  <sheetData>
    <row r="1" spans="1:18" s="1825" customFormat="1" ht="15" hidden="1" customHeight="1">
      <c r="C1" s="594"/>
      <c r="H1" s="352">
        <v>4</v>
      </c>
      <c r="R1" s="354"/>
    </row>
    <row r="2" spans="1:18" ht="22.5" hidden="1" customHeight="1">
      <c r="D2" s="465"/>
      <c r="E2" s="585"/>
      <c r="F2" s="1672" t="str">
        <f>IF(TEMPLATE_SPHERE="HEAT","Гкал/час","тыс. куб. м/сутки")</f>
        <v>тыс. куб. м/сутки</v>
      </c>
      <c r="G2" s="602"/>
      <c r="H2" s="602"/>
      <c r="I2" s="208"/>
    </row>
    <row r="3" spans="1:18" s="1825" customFormat="1" ht="15" hidden="1" customHeight="1">
      <c r="C3" s="594"/>
      <c r="R3" s="354"/>
    </row>
    <row r="4" spans="1:18" ht="15" customHeight="1">
      <c r="C4" s="97"/>
      <c r="D4" s="436"/>
      <c r="E4" s="436"/>
      <c r="F4" s="436"/>
      <c r="G4" s="436"/>
      <c r="H4" s="436"/>
    </row>
    <row r="5" spans="1:18" ht="37.5" customHeight="1">
      <c r="C5" s="97"/>
      <c r="D5" s="474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4743"/>
      <c r="F5" s="4743"/>
      <c r="G5" s="4743"/>
      <c r="H5" s="4743"/>
      <c r="I5" s="463"/>
    </row>
    <row r="6" spans="1:18" ht="15" customHeight="1">
      <c r="C6" s="97"/>
      <c r="D6" s="4690" t="str">
        <f>IF(org=0,"Не определено",org)</f>
        <v>ОГКП "Ульяновский областной водоканал"</v>
      </c>
      <c r="E6" s="4690"/>
      <c r="F6" s="4690"/>
      <c r="G6" s="4690"/>
      <c r="H6" s="4690"/>
      <c r="I6" s="463"/>
    </row>
    <row r="7" spans="1:18" s="1824" customFormat="1" ht="15" customHeight="1">
      <c r="A7" s="677"/>
      <c r="C7" s="97"/>
      <c r="D7" s="598"/>
      <c r="E7" s="598"/>
      <c r="F7" s="598"/>
      <c r="G7" s="598"/>
      <c r="H7" s="670"/>
      <c r="I7" s="463"/>
      <c r="R7" s="597"/>
    </row>
    <row r="8" spans="1:18" ht="0.75" customHeight="1">
      <c r="C8" s="97"/>
      <c r="D8" s="436"/>
      <c r="E8" s="436"/>
      <c r="F8" s="436"/>
      <c r="G8" s="436"/>
      <c r="H8" s="463" t="s">
        <v>179</v>
      </c>
    </row>
    <row r="9" spans="1:18" ht="15" customHeight="1">
      <c r="C9" s="97"/>
      <c r="D9" s="631"/>
      <c r="E9" s="4834" t="s">
        <v>170</v>
      </c>
      <c r="F9" s="4835"/>
      <c r="G9" s="734" t="str">
        <f>IF(G8="","",INDEX(DIFFERENTIATION_UNMERGE_VD,MATCH(G8,DIFFERENTIATION_ID_DIFF,0)))</f>
        <v/>
      </c>
      <c r="H9" s="734">
        <f>IF(H8="","",INDEX(DIFFERENTIATION_UNMERGE_VD,MATCH(H8,DIFFERENTIATION_ID_DIFF,0)))</f>
        <v>0</v>
      </c>
      <c r="I9" s="4627" t="s">
        <v>440</v>
      </c>
    </row>
    <row r="10" spans="1:18" s="1824" customFormat="1" ht="15" customHeight="1">
      <c r="A10" s="677"/>
      <c r="C10" s="97"/>
      <c r="D10" s="631"/>
      <c r="E10" s="4834" t="s">
        <v>699</v>
      </c>
      <c r="F10" s="4835"/>
      <c r="G10" s="734" t="str">
        <f>IF(G8="","",INDEX(DIFFERENTIATION_UNMERGE_AREA,MATCH(G8,DIFFERENTIATION_ID_DIFF,0)))</f>
        <v/>
      </c>
      <c r="H10" s="734" t="str">
        <f>IF(H8="","",INDEX(DIFFERENTIATION_UNMERGE_AREA,MATCH(H8,DIFFERENTIATION_ID_DIFF,0)))</f>
        <v/>
      </c>
      <c r="I10" s="4627"/>
      <c r="R10" s="597"/>
    </row>
    <row r="11" spans="1:18" s="1824" customFormat="1" ht="15" customHeight="1">
      <c r="A11" s="677"/>
      <c r="C11" s="97"/>
      <c r="D11" s="631"/>
      <c r="E11" s="4834" t="s">
        <v>700</v>
      </c>
      <c r="F11" s="4835"/>
      <c r="G11" s="734" t="str">
        <f>IF(G8="","",INDEX(DIFFERENTIATION_UNMERGE_SYSTEM,MATCH(G8,DIFFERENTIATION_ID_DIFF,0)))</f>
        <v/>
      </c>
      <c r="H11" s="734" t="str">
        <f>IF(H8="","",INDEX(DIFFERENTIATION_UNMERGE_SYSTEM,MATCH(H8,DIFFERENTIATION_ID_DIFF,0)))</f>
        <v>без дифференциации</v>
      </c>
      <c r="I11" s="4627"/>
      <c r="R11" s="597"/>
    </row>
    <row r="12" spans="1:18" s="1824" customFormat="1" ht="15" customHeight="1">
      <c r="A12" s="677"/>
      <c r="C12" s="97"/>
      <c r="D12" s="4836" t="s">
        <v>439</v>
      </c>
      <c r="E12" s="4837"/>
      <c r="F12" s="4837"/>
      <c r="G12" s="801"/>
      <c r="H12" s="801"/>
      <c r="I12" s="4627"/>
      <c r="R12" s="597"/>
    </row>
    <row r="13" spans="1:18" ht="33.75" customHeight="1">
      <c r="C13" s="97"/>
      <c r="D13" s="679" t="s">
        <v>86</v>
      </c>
      <c r="E13" s="678" t="s">
        <v>441</v>
      </c>
      <c r="F13" s="678" t="s">
        <v>701</v>
      </c>
      <c r="G13" s="726" t="s">
        <v>442</v>
      </c>
      <c r="H13" s="672" t="s">
        <v>442</v>
      </c>
      <c r="I13" s="4627"/>
    </row>
    <row r="14" spans="1:18" ht="15" hidden="1" customHeight="1">
      <c r="C14" s="97"/>
      <c r="D14" s="517" t="s">
        <v>174</v>
      </c>
      <c r="E14" s="517" t="s">
        <v>101</v>
      </c>
      <c r="F14" s="517" t="s">
        <v>88</v>
      </c>
      <c r="G14" s="581" t="str">
        <f>G1&amp;".1"</f>
        <v>.1</v>
      </c>
      <c r="H14" s="581" t="str">
        <f>H1&amp;".1"</f>
        <v>4.1</v>
      </c>
      <c r="I14" s="208"/>
    </row>
    <row r="15" spans="1:18" ht="15" customHeight="1">
      <c r="A15" s="432"/>
      <c r="C15" s="453"/>
      <c r="D15" s="448">
        <v>1</v>
      </c>
      <c r="E15" s="599" t="str">
        <f>TP_P_A</f>
        <v xml:space="preserve">Количество поданных заявлений </v>
      </c>
      <c r="F15" s="448" t="s">
        <v>1164</v>
      </c>
      <c r="G15" s="606"/>
      <c r="H15" s="60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32"/>
      <c r="C16" s="453"/>
      <c r="D16" s="448">
        <v>2</v>
      </c>
      <c r="E16" s="199" t="str">
        <f>TP_P_B</f>
        <v xml:space="preserve">Количество исполненных заявлений </v>
      </c>
      <c r="F16" s="448" t="s">
        <v>1164</v>
      </c>
      <c r="G16" s="606"/>
      <c r="H16" s="60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33.75" customHeight="1">
      <c r="A17" s="432"/>
      <c r="C17" s="453"/>
      <c r="D17" s="448">
        <v>3</v>
      </c>
      <c r="E17" s="199" t="str">
        <f>TP_P_V</f>
        <v>Количество заявлений о заключении договоров о подключении (технологическом присоединении)</v>
      </c>
      <c r="F17" s="448" t="s">
        <v>1164</v>
      </c>
      <c r="G17" s="606"/>
      <c r="H17" s="606"/>
      <c r="I17" s="129"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водоотведения</v>
      </c>
      <c r="F18" s="448" t="s">
        <v>445</v>
      </c>
      <c r="G18" s="607"/>
      <c r="H18" s="607"/>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2"/>
      <c r="C19" s="453"/>
      <c r="D19" s="448">
        <v>5</v>
      </c>
      <c r="E19" s="199"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48" t="str">
        <f>IF(TEMPLATE_SPHERE="HEAT","Гкал/час","тыс. куб. м/сутки")</f>
        <v>тыс. куб. м/сутки</v>
      </c>
      <c r="G19" s="608">
        <f>SUM(G20:G22)</f>
        <v>0</v>
      </c>
      <c r="H19" s="608">
        <f>SUM(H20:H22)</f>
        <v>0</v>
      </c>
      <c r="I19" s="129"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36" t="s">
        <v>1165</v>
      </c>
      <c r="E20" s="609"/>
      <c r="F20" s="436"/>
      <c r="G20" s="436"/>
      <c r="H20" s="436"/>
      <c r="I20" s="1674"/>
    </row>
    <row r="21" spans="1:18" ht="27.75" customHeight="1">
      <c r="C21" s="383"/>
      <c r="D21" s="465" t="s">
        <v>454</v>
      </c>
      <c r="E21" s="592"/>
      <c r="F21" s="1672" t="str">
        <f>IF(TEMPLATE_SPHERE="HEAT","Гкал/час","тыс. куб. м/сутки")</f>
        <v>тыс. куб. м/сутки</v>
      </c>
      <c r="G21" s="602"/>
      <c r="H21" s="602"/>
      <c r="I21" s="466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32"/>
      <c r="C22" s="432"/>
      <c r="D22" s="273"/>
      <c r="E22" s="506" t="s">
        <v>1166</v>
      </c>
      <c r="F22" s="498"/>
      <c r="G22" s="498"/>
      <c r="H22" s="498"/>
      <c r="I22" s="4669"/>
      <c r="R22" s="43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4098" hidden="1" customWidth="1"/>
    <col min="2" max="2" width="9.140625" style="4096" hidden="1" customWidth="1"/>
    <col min="3" max="3" width="3.7109375" style="4099" customWidth="1"/>
    <col min="4" max="4" width="6.28515625" style="1838" customWidth="1"/>
    <col min="5" max="6" width="64.140625" style="1838" customWidth="1"/>
    <col min="7" max="7" width="141.140625" style="1838" customWidth="1"/>
    <col min="8" max="8" width="10.5703125" style="1838"/>
    <col min="9" max="10" width="10.5703125" style="1827"/>
    <col min="11" max="16" width="10.5703125" style="1838"/>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46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4658"/>
      <c r="F5" s="4658"/>
      <c r="G5" s="4659"/>
    </row>
    <row r="6" spans="1:16" s="1824" customFormat="1" ht="18" customHeight="1">
      <c r="A6" s="796"/>
      <c r="B6" s="352"/>
      <c r="C6" s="306"/>
      <c r="D6" s="4724" t="str">
        <f>IF(org=0,"Не определено",org)</f>
        <v>ОГКП "Ульяновский областной водоканал"</v>
      </c>
      <c r="E6" s="4725"/>
      <c r="F6" s="4725"/>
      <c r="G6" s="4726"/>
      <c r="I6" s="427"/>
      <c r="J6" s="427"/>
    </row>
    <row r="7" spans="1:16" ht="14.25" customHeight="1">
      <c r="C7" s="30"/>
      <c r="D7" s="18"/>
      <c r="E7" s="29"/>
      <c r="F7" s="670"/>
      <c r="G7" s="114"/>
    </row>
    <row r="8" spans="1:16" s="1924" customFormat="1" ht="0.75" customHeight="1">
      <c r="A8" s="1581"/>
      <c r="B8" s="1061"/>
      <c r="C8" s="306"/>
      <c r="D8" s="291"/>
      <c r="E8" s="324"/>
      <c r="F8" s="670"/>
      <c r="G8" s="114"/>
      <c r="I8" s="1537"/>
      <c r="J8" s="1537"/>
    </row>
    <row r="9" spans="1:16" ht="14.25" customHeight="1">
      <c r="C9" s="30"/>
      <c r="D9" s="4719" t="s">
        <v>439</v>
      </c>
      <c r="E9" s="4719"/>
      <c r="F9" s="4719"/>
      <c r="G9" s="4902" t="s">
        <v>440</v>
      </c>
    </row>
    <row r="10" spans="1:16" ht="14.25" customHeight="1">
      <c r="C10" s="30"/>
      <c r="D10" s="36" t="s">
        <v>86</v>
      </c>
      <c r="E10" s="39" t="s">
        <v>441</v>
      </c>
      <c r="F10" s="39" t="s">
        <v>531</v>
      </c>
      <c r="G10" s="4902"/>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9" t="s">
        <v>445</v>
      </c>
      <c r="G12" s="75"/>
    </row>
    <row r="13" spans="1:16" ht="22.5" customHeight="1">
      <c r="A13" s="113"/>
      <c r="C13" s="30"/>
      <c r="D13" s="71" t="s">
        <v>1071</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445</v>
      </c>
      <c r="G13" s="75"/>
    </row>
    <row r="14" spans="1:16" ht="14.25" customHeight="1">
      <c r="A14" s="113"/>
      <c r="C14" s="30"/>
      <c r="D14" s="71" t="s">
        <v>1107</v>
      </c>
      <c r="E14" s="116"/>
      <c r="F14" s="134"/>
      <c r="G14" s="46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1167</v>
      </c>
      <c r="F15" s="122"/>
      <c r="G15" s="4669"/>
    </row>
    <row r="16" spans="1:16" ht="14.25" customHeight="1">
      <c r="A16" s="113"/>
      <c r="C16" s="30"/>
      <c r="D16" s="71" t="s">
        <v>1073</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9" t="s">
        <v>445</v>
      </c>
      <c r="G16" s="264"/>
    </row>
    <row r="17" spans="1:16" ht="14.25" customHeight="1">
      <c r="A17" s="113"/>
      <c r="C17" s="30"/>
      <c r="D17" s="71" t="s">
        <v>1115</v>
      </c>
      <c r="E17" s="116"/>
      <c r="F17" s="320"/>
      <c r="G17" s="46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4095" customFormat="1" ht="21" customHeight="1">
      <c r="A18" s="269"/>
      <c r="B18" s="70"/>
      <c r="C18" s="227"/>
      <c r="D18" s="273"/>
      <c r="E18" s="275" t="s">
        <v>1168</v>
      </c>
      <c r="F18" s="265"/>
      <c r="G18" s="4669"/>
      <c r="I18" s="276"/>
      <c r="J18" s="276"/>
    </row>
    <row r="19" spans="1:16" s="1824" customFormat="1" ht="256.5" hidden="1" customHeight="1">
      <c r="A19" s="269"/>
      <c r="B19" s="352"/>
      <c r="C19" s="306"/>
      <c r="D19" s="798" t="s">
        <v>1075</v>
      </c>
      <c r="E19" s="797" t="s">
        <v>1169</v>
      </c>
      <c r="F19" s="320"/>
      <c r="G19" s="264" t="s">
        <v>1170</v>
      </c>
      <c r="I19" s="427"/>
      <c r="J19" s="427"/>
    </row>
    <row r="20" spans="1:16" s="4095" customFormat="1" ht="14.25" customHeight="1">
      <c r="A20" s="269"/>
      <c r="B20" s="70"/>
      <c r="C20" s="227"/>
      <c r="D20" s="799">
        <v>2</v>
      </c>
      <c r="E20" s="257" t="s">
        <v>1171</v>
      </c>
      <c r="F20" s="119" t="s">
        <v>445</v>
      </c>
      <c r="G20" s="264"/>
      <c r="I20" s="276"/>
      <c r="J20" s="276"/>
    </row>
    <row r="21" spans="1:16" s="4095" customFormat="1" ht="18.75" hidden="1" customHeight="1">
      <c r="A21" s="269"/>
      <c r="B21" s="70"/>
      <c r="C21" s="227"/>
      <c r="D21" s="260" t="s">
        <v>1001</v>
      </c>
      <c r="E21" s="259"/>
      <c r="F21" s="258"/>
      <c r="G21" s="268"/>
      <c r="H21" s="261"/>
      <c r="I21" s="276"/>
      <c r="J21" s="276"/>
    </row>
    <row r="22" spans="1:16" ht="15" customHeight="1">
      <c r="A22" s="113"/>
      <c r="C22" s="30"/>
      <c r="D22" s="40"/>
      <c r="E22" s="124" t="s">
        <v>1172</v>
      </c>
      <c r="F22" s="265"/>
      <c r="G22" s="266"/>
    </row>
    <row r="23" spans="1:16" s="1924" customFormat="1" ht="22.5" hidden="1" customHeight="1">
      <c r="A23" s="269"/>
      <c r="B23" s="1061"/>
      <c r="C23" s="306"/>
      <c r="D23" s="1585" t="s">
        <v>101</v>
      </c>
      <c r="E23" s="118" t="s">
        <v>1173</v>
      </c>
      <c r="F23" s="1582" t="s">
        <v>445</v>
      </c>
      <c r="G23" s="271"/>
      <c r="I23" s="1537"/>
      <c r="J23" s="1537"/>
    </row>
    <row r="24" spans="1:16" s="1924" customFormat="1" ht="14.25" hidden="1" customHeight="1">
      <c r="A24" s="269"/>
      <c r="B24" s="1061"/>
      <c r="C24" s="306"/>
      <c r="D24" s="1585" t="s">
        <v>757</v>
      </c>
      <c r="E24" s="1584" t="s">
        <v>1174</v>
      </c>
      <c r="F24" s="1582" t="s">
        <v>445</v>
      </c>
      <c r="G24" s="264"/>
      <c r="I24" s="1537"/>
      <c r="J24" s="1537"/>
    </row>
    <row r="25" spans="1:16" s="1924" customFormat="1" ht="14.25" hidden="1" customHeight="1">
      <c r="A25" s="269"/>
      <c r="B25" s="1061"/>
      <c r="C25" s="306"/>
      <c r="D25" s="1585" t="s">
        <v>760</v>
      </c>
      <c r="E25" s="116"/>
      <c r="F25" s="320"/>
      <c r="G25" s="4667" t="s">
        <v>1175</v>
      </c>
      <c r="I25" s="1537"/>
      <c r="J25" s="1537"/>
    </row>
    <row r="26" spans="1:16" s="1924" customFormat="1" ht="22.5" hidden="1" customHeight="1">
      <c r="A26" s="269"/>
      <c r="B26" s="1061"/>
      <c r="C26" s="306"/>
      <c r="D26" s="273"/>
      <c r="E26" s="275" t="s">
        <v>1176</v>
      </c>
      <c r="F26" s="265"/>
      <c r="G26" s="4669"/>
      <c r="I26" s="1537"/>
      <c r="J26" s="1537"/>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6" tint="0.39997558519241921"/>
  </sheetPr>
  <dimension ref="A1:L42"/>
  <sheetViews>
    <sheetView showGridLines="0" topLeftCell="C13" zoomScale="90" workbookViewId="0"/>
  </sheetViews>
  <sheetFormatPr defaultColWidth="10.5703125" defaultRowHeight="14.25" customHeight="1"/>
  <cols>
    <col min="1" max="1" width="9.140625" style="1948" hidden="1" customWidth="1"/>
    <col min="2" max="2" width="9.140625" style="4096" hidden="1" customWidth="1"/>
    <col min="3" max="3" width="3.7109375" style="4099" customWidth="1"/>
    <col min="4" max="4" width="6.28515625" style="1838" customWidth="1"/>
    <col min="5" max="5" width="63.42578125" style="1838" customWidth="1"/>
    <col min="6" max="6" width="1.7109375" style="1838" hidden="1" customWidth="1"/>
    <col min="7" max="8" width="35.7109375" style="1838" customWidth="1"/>
    <col min="9" max="9" width="91.5703125" style="1838" customWidth="1"/>
    <col min="10" max="10" width="68.85546875" style="1838" customWidth="1"/>
    <col min="11" max="12" width="10.5703125" style="1827"/>
  </cols>
  <sheetData>
    <row r="1" spans="1:12" ht="14.25" hidden="1" customHeight="1"/>
    <row r="2" spans="1:12" s="1924" customFormat="1" ht="18.75" hidden="1" customHeight="1">
      <c r="A2" s="1595"/>
      <c r="B2" s="1061"/>
      <c r="C2" s="1641" t="s">
        <v>102</v>
      </c>
      <c r="D2" s="1585"/>
      <c r="E2" s="120"/>
      <c r="F2" s="1582"/>
      <c r="G2" s="1582" t="s">
        <v>445</v>
      </c>
      <c r="H2" s="1062"/>
      <c r="K2" s="1537"/>
      <c r="L2" s="1537"/>
    </row>
    <row r="3" spans="1:12" s="1924" customFormat="1" ht="14.25" hidden="1" customHeight="1">
      <c r="A3" s="1279"/>
      <c r="B3" s="1061"/>
      <c r="C3" s="270"/>
      <c r="K3" s="1537"/>
      <c r="L3" s="1537"/>
    </row>
    <row r="4" spans="1:12" s="1924" customFormat="1" ht="18.75" hidden="1" customHeight="1">
      <c r="A4" s="1595"/>
      <c r="B4" s="1061"/>
      <c r="C4" s="1641" t="s">
        <v>102</v>
      </c>
      <c r="D4" s="1585"/>
      <c r="E4" s="126" t="s">
        <v>1177</v>
      </c>
      <c r="F4" s="1582"/>
      <c r="G4" s="176"/>
      <c r="H4" s="1582" t="s">
        <v>445</v>
      </c>
      <c r="K4" s="1537"/>
      <c r="L4" s="1537"/>
    </row>
    <row r="5" spans="1:12" s="1924" customFormat="1" ht="14.25" hidden="1" customHeight="1">
      <c r="A5" s="1279"/>
      <c r="B5" s="1061"/>
      <c r="C5" s="270"/>
      <c r="K5" s="1537"/>
      <c r="L5" s="1537"/>
    </row>
    <row r="6" spans="1:12" s="1924" customFormat="1" ht="18.75" hidden="1" customHeight="1">
      <c r="A6" s="1595"/>
      <c r="B6" s="1061"/>
      <c r="C6" s="1641" t="s">
        <v>102</v>
      </c>
      <c r="D6" s="1585"/>
      <c r="E6" s="127" t="s">
        <v>1178</v>
      </c>
      <c r="F6" s="1582"/>
      <c r="G6" s="176"/>
      <c r="H6" s="1582" t="s">
        <v>445</v>
      </c>
      <c r="K6" s="1537"/>
      <c r="L6" s="1537"/>
    </row>
    <row r="7" spans="1:12" s="1924" customFormat="1" ht="14.25" hidden="1" customHeight="1">
      <c r="A7" s="1279"/>
      <c r="B7" s="1061"/>
      <c r="C7" s="270"/>
      <c r="K7" s="1537"/>
      <c r="L7" s="1537"/>
    </row>
    <row r="8" spans="1:12" s="1924" customFormat="1" ht="18.75" hidden="1" customHeight="1">
      <c r="A8" s="1595"/>
      <c r="B8" s="1061"/>
      <c r="C8" s="1641" t="s">
        <v>102</v>
      </c>
      <c r="D8" s="1585"/>
      <c r="E8" s="127" t="s">
        <v>1179</v>
      </c>
      <c r="F8" s="1582"/>
      <c r="G8" s="176"/>
      <c r="H8" s="1582" t="s">
        <v>445</v>
      </c>
      <c r="K8" s="1537"/>
      <c r="L8" s="1537"/>
    </row>
    <row r="9" spans="1:12" s="1924" customFormat="1" ht="14.25" hidden="1" customHeight="1">
      <c r="A9" s="1279"/>
      <c r="B9" s="1061"/>
      <c r="C9" s="270"/>
      <c r="K9" s="1537"/>
      <c r="L9" s="1537"/>
    </row>
    <row r="10" spans="1:12" s="1924" customFormat="1" ht="18.75" hidden="1" customHeight="1">
      <c r="A10" s="1595"/>
      <c r="B10" s="1061"/>
      <c r="C10" s="1641" t="s">
        <v>102</v>
      </c>
      <c r="D10" s="1585"/>
      <c r="E10" s="127" t="s">
        <v>1180</v>
      </c>
      <c r="F10" s="1582"/>
      <c r="G10" s="1586"/>
      <c r="H10" s="1582" t="s">
        <v>445</v>
      </c>
      <c r="K10" s="1537"/>
      <c r="L10" s="1537" t="s">
        <v>1181</v>
      </c>
    </row>
    <row r="11" spans="1:12" ht="14.25" hidden="1" customHeight="1"/>
    <row r="12" spans="1:12" ht="14.25" hidden="1" customHeight="1"/>
    <row r="13" spans="1:12" ht="14.25" customHeight="1">
      <c r="C13" s="30"/>
      <c r="D13" s="18"/>
      <c r="E13" s="18"/>
      <c r="F13" s="18"/>
      <c r="G13" s="18"/>
      <c r="H13" s="19"/>
      <c r="I13" s="19"/>
    </row>
    <row r="14" spans="1:12" ht="27.75" customHeight="1">
      <c r="C14" s="30"/>
      <c r="D14" s="46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4658"/>
      <c r="F14" s="4658"/>
      <c r="G14" s="4658"/>
      <c r="H14" s="4659"/>
      <c r="J14" s="1544"/>
    </row>
    <row r="15" spans="1:12" s="1924" customFormat="1" ht="14.25" customHeight="1">
      <c r="A15" s="1279"/>
      <c r="B15" s="1061"/>
      <c r="C15" s="306"/>
      <c r="D15" s="4724" t="str">
        <f>IF(org=0,"Не определено",org)</f>
        <v>ОГКП "Ульяновский областной водоканал"</v>
      </c>
      <c r="E15" s="4725"/>
      <c r="F15" s="4725"/>
      <c r="G15" s="4725"/>
      <c r="H15" s="4726"/>
      <c r="J15" s="766"/>
      <c r="K15" s="1537"/>
      <c r="L15" s="1537"/>
    </row>
    <row r="16" spans="1:12" ht="14.25" customHeight="1">
      <c r="C16" s="30"/>
      <c r="D16" s="18"/>
      <c r="E16" s="29"/>
      <c r="F16" s="29"/>
      <c r="G16" s="29"/>
      <c r="H16" s="670"/>
      <c r="I16" s="114"/>
    </row>
    <row r="17" spans="1:12" s="1924" customFormat="1" ht="14.25" hidden="1" customHeight="1">
      <c r="A17" s="1279"/>
      <c r="B17" s="1061"/>
      <c r="C17" s="306"/>
      <c r="D17" s="291"/>
      <c r="E17" s="324"/>
      <c r="F17" s="324"/>
      <c r="G17" s="324"/>
      <c r="H17" s="670"/>
      <c r="I17" s="114"/>
      <c r="K17" s="1537"/>
      <c r="L17" s="1537"/>
    </row>
    <row r="18" spans="1:12" ht="21" customHeight="1">
      <c r="C18" s="30"/>
      <c r="D18" s="4719" t="s">
        <v>439</v>
      </c>
      <c r="E18" s="4719"/>
      <c r="F18" s="4719"/>
      <c r="G18" s="4719"/>
      <c r="H18" s="4719"/>
      <c r="I18" s="4902" t="s">
        <v>440</v>
      </c>
    </row>
    <row r="19" spans="1:12" ht="21" customHeight="1">
      <c r="C19" s="30"/>
      <c r="D19" s="36" t="s">
        <v>86</v>
      </c>
      <c r="E19" s="39" t="s">
        <v>441</v>
      </c>
      <c r="F19" s="39"/>
      <c r="G19" s="39" t="s">
        <v>442</v>
      </c>
      <c r="H19" s="39" t="s">
        <v>531</v>
      </c>
      <c r="I19" s="4902"/>
    </row>
    <row r="20" spans="1:12" ht="12" hidden="1" customHeight="1">
      <c r="C20" s="30"/>
      <c r="D20" s="21"/>
      <c r="E20" s="21"/>
      <c r="F20" s="21"/>
      <c r="G20" s="21"/>
      <c r="H20" s="21"/>
      <c r="I20" s="21"/>
    </row>
    <row r="21" spans="1:12" ht="14.25" customHeight="1">
      <c r="A21" s="1595"/>
      <c r="C21" s="30"/>
      <c r="D21" s="71">
        <v>1</v>
      </c>
      <c r="E21" s="4903" t="s">
        <v>1182</v>
      </c>
      <c r="F21" s="4903"/>
      <c r="G21" s="4903"/>
      <c r="H21" s="4903"/>
      <c r="I21" s="129"/>
    </row>
    <row r="22" spans="1:12" ht="20.25" customHeight="1">
      <c r="A22" s="1595"/>
      <c r="C22" s="30"/>
      <c r="D22" s="71" t="s">
        <v>1071</v>
      </c>
      <c r="E22" s="115" t="s">
        <v>1183</v>
      </c>
      <c r="F22" s="119"/>
      <c r="G22" s="1648"/>
      <c r="H22" s="119" t="s">
        <v>445</v>
      </c>
      <c r="I22" s="75" t="s">
        <v>1184</v>
      </c>
    </row>
    <row r="23" spans="1:12" ht="45" customHeight="1">
      <c r="A23" s="1595"/>
      <c r="C23" s="30"/>
      <c r="D23" s="71" t="s">
        <v>1073</v>
      </c>
      <c r="E23" s="115" t="s">
        <v>1185</v>
      </c>
      <c r="F23" s="119"/>
      <c r="G23" s="176"/>
      <c r="H23" s="134"/>
      <c r="I23" s="177" t="s">
        <v>1186</v>
      </c>
    </row>
    <row r="24" spans="1:12" ht="14.25" customHeight="1">
      <c r="A24" s="1595"/>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9"/>
      <c r="G24" s="119" t="s">
        <v>445</v>
      </c>
      <c r="H24" s="134"/>
      <c r="I24" s="178" t="s">
        <v>938</v>
      </c>
    </row>
    <row r="25" spans="1:12" ht="46.5" customHeight="1">
      <c r="A25" s="1595"/>
      <c r="C25" s="30"/>
      <c r="D25" s="71">
        <v>3</v>
      </c>
      <c r="E25" s="49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903"/>
      <c r="G25" s="4903"/>
      <c r="H25" s="4903"/>
      <c r="I25" s="175"/>
    </row>
    <row r="26" spans="1:12" ht="14.25" customHeight="1">
      <c r="A26" s="1595"/>
      <c r="C26" s="30"/>
      <c r="D26" s="71" t="s">
        <v>465</v>
      </c>
      <c r="E26" s="120"/>
      <c r="F26" s="119"/>
      <c r="G26" s="119" t="s">
        <v>445</v>
      </c>
      <c r="H26" s="134"/>
      <c r="I26" s="4667" t="s">
        <v>1187</v>
      </c>
    </row>
    <row r="27" spans="1:12" ht="15" customHeight="1">
      <c r="A27" s="1595" t="s">
        <v>174</v>
      </c>
      <c r="C27" s="30"/>
      <c r="D27" s="40"/>
      <c r="E27" s="124" t="s">
        <v>1172</v>
      </c>
      <c r="F27" s="125"/>
      <c r="G27" s="125"/>
      <c r="H27" s="122"/>
      <c r="I27" s="4669"/>
    </row>
    <row r="28" spans="1:12" ht="38.25" customHeight="1">
      <c r="A28" s="1595"/>
      <c r="B28" s="70">
        <v>3</v>
      </c>
      <c r="C28" s="30"/>
      <c r="D28" s="71">
        <v>4</v>
      </c>
      <c r="E28" s="49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4903"/>
      <c r="G28" s="4903"/>
      <c r="H28" s="4903"/>
      <c r="I28" s="175"/>
    </row>
    <row r="29" spans="1:12" ht="20.25" customHeight="1">
      <c r="A29" s="1595"/>
      <c r="C29" s="30"/>
      <c r="D29" s="71" t="s">
        <v>802</v>
      </c>
      <c r="E29" s="126" t="s">
        <v>1177</v>
      </c>
      <c r="F29" s="119"/>
      <c r="G29" s="176"/>
      <c r="H29" s="119" t="s">
        <v>445</v>
      </c>
      <c r="I29" s="4667" t="s">
        <v>1188</v>
      </c>
    </row>
    <row r="30" spans="1:12" ht="15" customHeight="1">
      <c r="A30" s="1595" t="s">
        <v>101</v>
      </c>
      <c r="C30" s="30"/>
      <c r="D30" s="40"/>
      <c r="E30" s="124" t="s">
        <v>1172</v>
      </c>
      <c r="F30" s="125"/>
      <c r="G30" s="125"/>
      <c r="H30" s="122"/>
      <c r="I30" s="4669"/>
    </row>
    <row r="31" spans="1:12" ht="30" customHeight="1">
      <c r="A31" s="1595"/>
      <c r="B31" s="70">
        <v>3</v>
      </c>
      <c r="C31" s="30"/>
      <c r="D31" s="71">
        <v>5</v>
      </c>
      <c r="E31" s="49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4903"/>
      <c r="G31" s="4903"/>
      <c r="H31" s="4903"/>
      <c r="I31" s="175"/>
    </row>
    <row r="32" spans="1:12" ht="26.25" customHeight="1">
      <c r="A32" s="1595"/>
      <c r="C32" s="30"/>
      <c r="D32" s="71" t="s">
        <v>454</v>
      </c>
      <c r="E32" s="48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4860"/>
      <c r="G32" s="4860"/>
      <c r="H32" s="4860"/>
      <c r="I32" s="175"/>
    </row>
    <row r="33" spans="1:12" ht="14.25" customHeight="1">
      <c r="A33" s="1595"/>
      <c r="C33" s="30"/>
      <c r="D33" s="71" t="s">
        <v>1189</v>
      </c>
      <c r="E33" s="127" t="s">
        <v>1178</v>
      </c>
      <c r="F33" s="119"/>
      <c r="G33" s="176"/>
      <c r="H33" s="119" t="s">
        <v>445</v>
      </c>
      <c r="I33" s="4667" t="s">
        <v>1190</v>
      </c>
    </row>
    <row r="34" spans="1:12" ht="15" customHeight="1">
      <c r="A34" s="1595" t="s">
        <v>88</v>
      </c>
      <c r="C34" s="30"/>
      <c r="D34" s="40"/>
      <c r="E34" s="125" t="s">
        <v>1172</v>
      </c>
      <c r="F34" s="121"/>
      <c r="G34" s="121"/>
      <c r="H34" s="122"/>
      <c r="I34" s="4669"/>
    </row>
    <row r="35" spans="1:12" ht="24" customHeight="1">
      <c r="A35" s="1595"/>
      <c r="C35" s="30"/>
      <c r="D35" s="71" t="s">
        <v>456</v>
      </c>
      <c r="E35" s="48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4860"/>
      <c r="G35" s="4860"/>
      <c r="H35" s="4860"/>
      <c r="I35" s="175"/>
    </row>
    <row r="36" spans="1:12" ht="14.25" customHeight="1">
      <c r="A36" s="1595"/>
      <c r="C36" s="30"/>
      <c r="D36" s="71" t="s">
        <v>1191</v>
      </c>
      <c r="E36" s="127" t="s">
        <v>1179</v>
      </c>
      <c r="F36" s="119"/>
      <c r="G36" s="176"/>
      <c r="H36" s="119" t="s">
        <v>445</v>
      </c>
      <c r="I36" s="4643" t="s">
        <v>1192</v>
      </c>
    </row>
    <row r="37" spans="1:12" ht="15" customHeight="1">
      <c r="A37" s="1595" t="s">
        <v>89</v>
      </c>
      <c r="C37" s="30"/>
      <c r="D37" s="40"/>
      <c r="E37" s="125" t="s">
        <v>1172</v>
      </c>
      <c r="F37" s="121"/>
      <c r="G37" s="121"/>
      <c r="H37" s="122"/>
      <c r="I37" s="4643"/>
    </row>
    <row r="38" spans="1:12" ht="26.25" customHeight="1">
      <c r="A38" s="1595"/>
      <c r="C38" s="30"/>
      <c r="D38" s="71" t="s">
        <v>459</v>
      </c>
      <c r="E38" s="48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4860"/>
      <c r="G38" s="4860"/>
      <c r="H38" s="4860"/>
      <c r="I38" s="175"/>
    </row>
    <row r="39" spans="1:12" ht="14.25" customHeight="1">
      <c r="A39" s="1595"/>
      <c r="C39" s="30"/>
      <c r="D39" s="71" t="s">
        <v>931</v>
      </c>
      <c r="E39" s="127" t="s">
        <v>1180</v>
      </c>
      <c r="F39" s="119"/>
      <c r="G39" s="128"/>
      <c r="H39" s="119" t="s">
        <v>445</v>
      </c>
      <c r="I39" s="4667" t="s">
        <v>1193</v>
      </c>
      <c r="L39" s="77" t="s">
        <v>1181</v>
      </c>
    </row>
    <row r="40" spans="1:12" ht="15" customHeight="1">
      <c r="A40" s="1595" t="s">
        <v>128</v>
      </c>
      <c r="C40" s="30"/>
      <c r="D40" s="40"/>
      <c r="E40" s="125" t="s">
        <v>1172</v>
      </c>
      <c r="F40" s="121"/>
      <c r="G40" s="121"/>
      <c r="H40" s="122"/>
      <c r="I40" s="4669"/>
    </row>
    <row r="41" spans="1:12" s="4100" customFormat="1" ht="3" customHeight="1">
      <c r="A41" s="1595"/>
      <c r="K41" s="117"/>
      <c r="L41" s="117"/>
    </row>
    <row r="42" spans="1:12" ht="24.75" customHeight="1">
      <c r="D42" s="1593" t="s">
        <v>853</v>
      </c>
      <c r="E42" s="47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4779"/>
      <c r="G42" s="4779"/>
      <c r="H42" s="4779"/>
      <c r="I42" s="4779"/>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sheetPr>
    <tabColor theme="6" tint="0.39997558519241921"/>
  </sheetPr>
  <dimension ref="A1:AG486"/>
  <sheetViews>
    <sheetView showGridLines="0" topLeftCell="D13" zoomScale="90" workbookViewId="0">
      <selection activeCell="A476" sqref="A476:XFD477"/>
    </sheetView>
  </sheetViews>
  <sheetFormatPr defaultColWidth="10.5703125" defaultRowHeight="14.25" customHeight="1"/>
  <cols>
    <col min="1" max="2" width="25.140625" style="4101" hidden="1" customWidth="1"/>
    <col min="3" max="3" width="9.140625" style="4072" hidden="1" customWidth="1"/>
    <col min="4" max="4" width="3.7109375" style="1954" customWidth="1"/>
    <col min="5" max="5" width="6.28515625" style="4537" customWidth="1"/>
    <col min="6" max="6" width="46.7109375" style="4537" customWidth="1"/>
    <col min="7" max="7" width="35.7109375" style="4537" customWidth="1"/>
    <col min="8" max="8" width="3.7109375" style="4537" customWidth="1"/>
    <col min="9" max="10" width="11.7109375" style="4537" customWidth="1"/>
    <col min="11" max="12" width="35.7109375" style="4537" customWidth="1"/>
    <col min="13" max="13" width="84.85546875" style="4537" customWidth="1"/>
    <col min="14" max="14" width="10.5703125" style="4537"/>
    <col min="15" max="16" width="10.5703125" style="4097"/>
    <col min="17" max="33" width="10.5703125" style="4537"/>
  </cols>
  <sheetData>
    <row r="1" spans="1:33" s="1924" customFormat="1" ht="14.25" hidden="1" customHeight="1">
      <c r="A1" s="1691"/>
      <c r="B1" s="1691"/>
      <c r="C1" s="298"/>
      <c r="D1" s="270"/>
      <c r="N1" s="1549">
        <f>IFERROR(MATCH("метод экономически обоснованных расходов (затрат)",OFFER_METHOD,0),0)</f>
        <v>0</v>
      </c>
      <c r="O1" s="1537"/>
      <c r="P1" s="1537"/>
      <c r="T1" s="749"/>
      <c r="AG1" s="174"/>
    </row>
    <row r="2" spans="1:33" s="1924" customFormat="1" ht="18.75" hidden="1" customHeight="1">
      <c r="A2" s="1692" t="s">
        <v>214</v>
      </c>
      <c r="B2" s="1692" t="s">
        <v>215</v>
      </c>
      <c r="C2" s="298"/>
      <c r="D2" s="270"/>
      <c r="E2" s="939"/>
      <c r="F2" s="939"/>
      <c r="G2" s="4876" t="str">
        <f>INDEX(PT_DIFFERENTIATION_NTAR,MATCH(B2,PT_DIFFERENTIATION_NTAR_ID,0))</f>
        <v/>
      </c>
      <c r="H2" s="1776"/>
      <c r="I2" s="1650"/>
      <c r="J2" s="1685"/>
      <c r="K2" s="1777"/>
      <c r="L2" s="1776" t="s">
        <v>445</v>
      </c>
      <c r="M2" s="1786"/>
      <c r="N2" s="261"/>
      <c r="O2" s="1537"/>
      <c r="P2" s="1537"/>
    </row>
    <row r="3" spans="1:33" s="1924" customFormat="1" ht="18.75" hidden="1" customHeight="1">
      <c r="A3" s="1692"/>
      <c r="B3" s="1692"/>
      <c r="C3" s="298" t="s">
        <v>1194</v>
      </c>
      <c r="D3" s="270"/>
      <c r="E3" s="939"/>
      <c r="F3" s="939"/>
      <c r="G3" s="4876"/>
      <c r="H3" s="1411"/>
      <c r="I3" s="573" t="s">
        <v>1195</v>
      </c>
      <c r="J3" s="497"/>
      <c r="K3" s="1411"/>
      <c r="L3" s="135"/>
      <c r="M3" s="1786"/>
      <c r="N3" s="261"/>
      <c r="O3" s="1537"/>
      <c r="P3" s="1537"/>
    </row>
    <row r="4" spans="1:33" s="1924" customFormat="1" ht="14.25" hidden="1" customHeight="1">
      <c r="A4" s="1691"/>
      <c r="B4" s="1691"/>
      <c r="C4" s="298"/>
      <c r="D4" s="270"/>
      <c r="N4" s="1549">
        <f>IFERROR(MATCH("метод экономически обоснованных расходов (затрат)",OFFER_METHOD,0),0)</f>
        <v>0</v>
      </c>
      <c r="O4" s="1537"/>
      <c r="P4" s="1537"/>
      <c r="T4" s="749"/>
      <c r="AG4" s="174"/>
    </row>
    <row r="5" spans="1:33" s="1924" customFormat="1" ht="18.75" hidden="1" customHeight="1">
      <c r="A5" s="1692" t="s">
        <v>214</v>
      </c>
      <c r="B5" s="1692" t="s">
        <v>215</v>
      </c>
      <c r="C5" s="298"/>
      <c r="D5" s="270"/>
      <c r="E5" s="939"/>
      <c r="F5" s="939"/>
      <c r="G5" s="4876" t="str">
        <f>INDEX(PT_DIFFERENTIATION_NTAR,MATCH(B5,PT_DIFFERENTIATION_NTAR_ID,0))</f>
        <v/>
      </c>
      <c r="H5" s="1776"/>
      <c r="I5" s="1650"/>
      <c r="J5" s="1685"/>
      <c r="K5" s="1690"/>
      <c r="L5" s="1776" t="s">
        <v>445</v>
      </c>
      <c r="M5" s="1786"/>
      <c r="N5" s="261"/>
      <c r="O5" s="1537"/>
      <c r="P5" s="1537"/>
    </row>
    <row r="6" spans="1:33" s="1924" customFormat="1" ht="18.75" hidden="1" customHeight="1">
      <c r="A6" s="1692"/>
      <c r="B6" s="1692"/>
      <c r="C6" s="298" t="s">
        <v>1196</v>
      </c>
      <c r="D6" s="270"/>
      <c r="E6" s="939"/>
      <c r="F6" s="939"/>
      <c r="G6" s="4876"/>
      <c r="H6" s="1411"/>
      <c r="I6" s="573" t="s">
        <v>1195</v>
      </c>
      <c r="J6" s="497"/>
      <c r="K6" s="1411"/>
      <c r="L6" s="135"/>
      <c r="M6" s="1786"/>
      <c r="N6" s="261"/>
      <c r="O6" s="1537"/>
      <c r="P6" s="1537"/>
    </row>
    <row r="7" spans="1:33" s="1924" customFormat="1" ht="14.25" hidden="1" customHeight="1">
      <c r="A7" s="1691"/>
      <c r="B7" s="1691"/>
      <c r="C7" s="298"/>
      <c r="D7" s="270"/>
      <c r="N7" s="1549">
        <f>IFERROR(MATCH("метод экономически обоснованных расходов (затрат)",OFFER_METHOD,0),0)</f>
        <v>0</v>
      </c>
      <c r="O7" s="1537"/>
      <c r="P7" s="1537"/>
      <c r="T7" s="749"/>
      <c r="AG7" s="174"/>
    </row>
    <row r="8" spans="1:33" s="1924" customFormat="1" ht="56.25" hidden="1" customHeight="1">
      <c r="A8" s="1692"/>
      <c r="B8" s="1692"/>
      <c r="C8" s="298"/>
      <c r="D8" s="270"/>
      <c r="E8" s="939"/>
      <c r="F8" s="939"/>
      <c r="G8" s="939"/>
      <c r="H8" s="1683"/>
      <c r="I8" s="1650"/>
      <c r="J8" s="1685"/>
      <c r="K8" s="1777"/>
      <c r="L8" s="1683" t="s">
        <v>445</v>
      </c>
      <c r="M8" s="1786"/>
      <c r="N8" s="261"/>
      <c r="O8" s="1537"/>
      <c r="P8" s="1537"/>
    </row>
    <row r="9" spans="1:33" ht="14.25" hidden="1" customHeight="1">
      <c r="T9" s="332"/>
      <c r="AG9" s="174"/>
    </row>
    <row r="10" spans="1:33" s="1924" customFormat="1" ht="56.25" hidden="1" customHeight="1">
      <c r="A10" s="1692"/>
      <c r="B10" s="1692"/>
      <c r="C10" s="298"/>
      <c r="D10" s="270"/>
      <c r="E10" s="939"/>
      <c r="F10" s="939"/>
      <c r="G10" s="939"/>
      <c r="H10" s="1682"/>
      <c r="I10" s="1650"/>
      <c r="J10" s="1685"/>
      <c r="K10" s="1690"/>
      <c r="L10" s="1683" t="s">
        <v>445</v>
      </c>
      <c r="M10" s="1786"/>
      <c r="N10" s="261"/>
      <c r="O10" s="1537"/>
      <c r="P10" s="1537"/>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49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4909"/>
      <c r="G14" s="4909"/>
      <c r="H14" s="4909"/>
      <c r="I14" s="4909"/>
      <c r="J14" s="4909"/>
      <c r="K14" s="4909"/>
      <c r="L14" s="4909"/>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4761">
        <f>IF(TITLE_DATE_PR_CHANGE="",IF(TITLE_DATE_PR="","",TITLE_DATE_PR),TITLE_DATE_PR_CHANGE)</f>
        <v>45279.639965277776</v>
      </c>
      <c r="H16" s="4761"/>
      <c r="I16" s="4761"/>
      <c r="J16" s="4761"/>
      <c r="K16" s="4761"/>
      <c r="L16" s="4761"/>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4752" t="str">
        <f>IF(TITLE_NUMBER_PR_CHANGE="",IF(TITLE_NUMBER_PR="","",TITLE_NUMBER_PR),TITLE_NUMBER_PR_CHANGE)</f>
        <v>233-П</v>
      </c>
      <c r="H17" s="4752"/>
      <c r="I17" s="4752"/>
      <c r="J17" s="4752"/>
      <c r="K17" s="4752"/>
      <c r="L17" s="4752"/>
      <c r="M17" s="333"/>
      <c r="N17" s="253"/>
    </row>
    <row r="18" spans="1:16" ht="14.25" customHeight="1">
      <c r="D18" s="306"/>
      <c r="E18" s="291"/>
      <c r="F18" s="324"/>
      <c r="G18" s="324"/>
      <c r="H18" s="324"/>
      <c r="I18" s="324"/>
      <c r="J18" s="324"/>
      <c r="K18" s="324"/>
      <c r="L18" s="670"/>
      <c r="M18" s="114"/>
    </row>
    <row r="19" spans="1:16" ht="21" customHeight="1">
      <c r="D19" s="306"/>
      <c r="E19" s="4719" t="s">
        <v>439</v>
      </c>
      <c r="F19" s="4719"/>
      <c r="G19" s="4719"/>
      <c r="H19" s="4719"/>
      <c r="I19" s="4719"/>
      <c r="J19" s="4719"/>
      <c r="K19" s="4719"/>
      <c r="L19" s="4719"/>
      <c r="M19" s="4902" t="s">
        <v>440</v>
      </c>
    </row>
    <row r="20" spans="1:16" ht="21" customHeight="1">
      <c r="D20" s="306"/>
      <c r="E20" s="4771" t="s">
        <v>86</v>
      </c>
      <c r="F20" s="4732" t="s">
        <v>184</v>
      </c>
      <c r="G20" s="4732" t="s">
        <v>185</v>
      </c>
      <c r="H20" s="4881" t="s">
        <v>1197</v>
      </c>
      <c r="I20" s="4882"/>
      <c r="J20" s="4883"/>
      <c r="K20" s="4732" t="s">
        <v>442</v>
      </c>
      <c r="L20" s="4732" t="s">
        <v>531</v>
      </c>
      <c r="M20" s="4902"/>
    </row>
    <row r="21" spans="1:16" ht="21" customHeight="1">
      <c r="D21" s="306"/>
      <c r="E21" s="4773"/>
      <c r="F21" s="4733"/>
      <c r="G21" s="4733"/>
      <c r="H21" s="4727" t="s">
        <v>1198</v>
      </c>
      <c r="I21" s="4729"/>
      <c r="J21" s="39" t="s">
        <v>1199</v>
      </c>
      <c r="K21" s="4733"/>
      <c r="L21" s="4733"/>
      <c r="M21" s="4902"/>
    </row>
    <row r="22" spans="1:16" ht="12" customHeight="1">
      <c r="D22" s="306"/>
      <c r="E22" s="201"/>
      <c r="F22" s="201"/>
      <c r="G22" s="201"/>
      <c r="H22" s="4911"/>
      <c r="I22" s="4911"/>
      <c r="J22" s="201"/>
      <c r="K22" s="201"/>
      <c r="L22" s="201"/>
      <c r="M22" s="201"/>
    </row>
    <row r="23" spans="1:16" ht="18.75" customHeight="1">
      <c r="A23" s="1692"/>
      <c r="B23" s="1692"/>
      <c r="D23" s="306"/>
      <c r="E23" s="1778" t="s">
        <v>174</v>
      </c>
      <c r="F23" s="4912" t="str">
        <f>"Предлагаемый метод регулирования"&amp;IF(TEMPLATE_SPHERE="HEAT"," в сфере "&amp;TEMPLATE_SPHERE_RUS,"")</f>
        <v>Предлагаемый метод регулирования</v>
      </c>
      <c r="G23" s="4912"/>
      <c r="H23" s="4903"/>
      <c r="I23" s="4903"/>
      <c r="J23" s="4903"/>
      <c r="K23" s="4912" t="s">
        <v>445</v>
      </c>
      <c r="L23" s="4903"/>
      <c r="M23" s="1681"/>
      <c r="N23" s="261"/>
    </row>
    <row r="24" spans="1:16" ht="60.75" hidden="1" customHeight="1">
      <c r="A24" s="1692" t="s">
        <v>214</v>
      </c>
      <c r="B24" s="1692" t="s">
        <v>215</v>
      </c>
      <c r="D24" s="4910"/>
      <c r="E24" s="4713"/>
      <c r="F24" s="49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876" t="str">
        <f>INDEX(PT_DIFFERENTIATION_NTAR,MATCH(B24,PT_DIFFERENTIATION_NTAR_ID,0))</f>
        <v/>
      </c>
      <c r="H24" s="1774"/>
      <c r="I24" s="1650"/>
      <c r="J24" s="1685"/>
      <c r="K24" s="1777"/>
      <c r="L24" s="1680" t="s">
        <v>445</v>
      </c>
      <c r="M24" s="46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24" customFormat="1" ht="18.75" hidden="1" customHeight="1">
      <c r="A25" s="1692"/>
      <c r="B25" s="1692"/>
      <c r="C25" s="298" t="s">
        <v>1194</v>
      </c>
      <c r="D25" s="4910"/>
      <c r="E25" s="4713"/>
      <c r="F25" s="4913"/>
      <c r="G25" s="4876"/>
      <c r="H25" s="1411"/>
      <c r="I25" s="573" t="s">
        <v>1195</v>
      </c>
      <c r="J25" s="497"/>
      <c r="K25" s="1411"/>
      <c r="L25" s="135"/>
      <c r="M25" s="4668"/>
      <c r="N25" s="261"/>
      <c r="O25" s="1537"/>
      <c r="P25" s="1537"/>
    </row>
    <row r="26" spans="1:16" ht="0.75" hidden="1" customHeight="1">
      <c r="A26" s="1692"/>
      <c r="B26" s="1692"/>
      <c r="C26" s="298" t="s">
        <v>1200</v>
      </c>
      <c r="D26" s="4910"/>
      <c r="E26" s="4713"/>
      <c r="F26" s="4848"/>
      <c r="G26" s="335"/>
      <c r="H26" s="1411"/>
      <c r="I26" s="330"/>
      <c r="J26" s="275"/>
      <c r="K26" s="1411"/>
      <c r="L26" s="122"/>
      <c r="M26" s="4668"/>
      <c r="N26" s="261"/>
    </row>
    <row r="27" spans="1:16" s="1924" customFormat="1" ht="45" hidden="1" customHeight="1">
      <c r="A27" s="1692" t="s">
        <v>220</v>
      </c>
      <c r="B27" s="1692" t="s">
        <v>221</v>
      </c>
      <c r="C27" s="298"/>
      <c r="D27" s="4904"/>
      <c r="E27" s="4907"/>
      <c r="F27" s="490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876" t="str">
        <f>INDEX(PT_DIFFERENTIATION_NTAR,MATCH(B27,PT_DIFFERENTIATION_NTAR_ID,0))</f>
        <v/>
      </c>
      <c r="H27" s="1774"/>
      <c r="I27" s="1650"/>
      <c r="J27" s="1685"/>
      <c r="K27" s="1777"/>
      <c r="L27" s="1774" t="s">
        <v>445</v>
      </c>
      <c r="M27" s="4668"/>
      <c r="N27" s="261"/>
      <c r="O27" s="1537"/>
      <c r="P27" s="1537"/>
    </row>
    <row r="28" spans="1:16" s="1924" customFormat="1" ht="18.75" hidden="1" customHeight="1">
      <c r="A28" s="1692"/>
      <c r="B28" s="1692"/>
      <c r="C28" s="298" t="s">
        <v>1194</v>
      </c>
      <c r="D28" s="4904"/>
      <c r="E28" s="4907"/>
      <c r="F28" s="4908"/>
      <c r="G28" s="4876"/>
      <c r="H28" s="1411"/>
      <c r="I28" s="573" t="s">
        <v>1195</v>
      </c>
      <c r="J28" s="497"/>
      <c r="K28" s="1411"/>
      <c r="L28" s="135"/>
      <c r="M28" s="4668"/>
      <c r="N28" s="261"/>
      <c r="O28" s="1537"/>
      <c r="P28" s="1537"/>
    </row>
    <row r="29" spans="1:16" s="1924" customFormat="1" ht="0.75" hidden="1" customHeight="1">
      <c r="A29" s="1692"/>
      <c r="B29" s="1692"/>
      <c r="C29" s="298" t="s">
        <v>1200</v>
      </c>
      <c r="D29" s="4904"/>
      <c r="E29" s="4713"/>
      <c r="F29" s="4848"/>
      <c r="G29" s="335"/>
      <c r="H29" s="1411"/>
      <c r="I29" s="573"/>
      <c r="J29" s="497"/>
      <c r="K29" s="1411"/>
      <c r="L29" s="135"/>
      <c r="M29" s="4668"/>
      <c r="N29" s="261"/>
      <c r="O29" s="1537"/>
      <c r="P29" s="1537"/>
    </row>
    <row r="30" spans="1:16" s="1924" customFormat="1" ht="45" hidden="1" customHeight="1">
      <c r="A30" s="1692" t="s">
        <v>226</v>
      </c>
      <c r="B30" s="1692" t="s">
        <v>227</v>
      </c>
      <c r="C30" s="298"/>
      <c r="D30" s="4904"/>
      <c r="E30" s="4713"/>
      <c r="F30" s="48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876" t="str">
        <f>INDEX(PT_DIFFERENTIATION_NTAR,MATCH(B30,PT_DIFFERENTIATION_NTAR_ID,0))</f>
        <v/>
      </c>
      <c r="H30" s="1774"/>
      <c r="I30" s="1650"/>
      <c r="J30" s="1685"/>
      <c r="K30" s="1777"/>
      <c r="L30" s="1774" t="s">
        <v>445</v>
      </c>
      <c r="M30" s="4668"/>
      <c r="N30" s="261"/>
      <c r="O30" s="1537"/>
      <c r="P30" s="1537"/>
    </row>
    <row r="31" spans="1:16" s="1924" customFormat="1" ht="18.75" hidden="1" customHeight="1">
      <c r="A31" s="1692"/>
      <c r="B31" s="1692"/>
      <c r="C31" s="298" t="s">
        <v>1194</v>
      </c>
      <c r="D31" s="4904"/>
      <c r="E31" s="4713"/>
      <c r="F31" s="4848"/>
      <c r="G31" s="4876"/>
      <c r="H31" s="1411"/>
      <c r="I31" s="573" t="s">
        <v>1195</v>
      </c>
      <c r="J31" s="497"/>
      <c r="K31" s="1411"/>
      <c r="L31" s="135"/>
      <c r="M31" s="4668"/>
      <c r="N31" s="261"/>
      <c r="O31" s="1537"/>
      <c r="P31" s="1537"/>
    </row>
    <row r="32" spans="1:16" s="1924" customFormat="1" ht="0.75" hidden="1" customHeight="1">
      <c r="A32" s="1692"/>
      <c r="B32" s="1692"/>
      <c r="C32" s="298" t="s">
        <v>1200</v>
      </c>
      <c r="D32" s="4904"/>
      <c r="E32" s="4713"/>
      <c r="F32" s="4848"/>
      <c r="G32" s="335"/>
      <c r="H32" s="1411"/>
      <c r="I32" s="573"/>
      <c r="J32" s="497"/>
      <c r="K32" s="1411"/>
      <c r="L32" s="135"/>
      <c r="M32" s="4668"/>
      <c r="N32" s="261"/>
      <c r="O32" s="1537"/>
      <c r="P32" s="1537"/>
    </row>
    <row r="33" spans="1:16" s="1924" customFormat="1" ht="45" hidden="1" customHeight="1">
      <c r="A33" s="1692" t="s">
        <v>232</v>
      </c>
      <c r="B33" s="1692" t="s">
        <v>233</v>
      </c>
      <c r="C33" s="298"/>
      <c r="D33" s="4904"/>
      <c r="E33" s="4713"/>
      <c r="F33" s="48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876" t="str">
        <f>INDEX(PT_DIFFERENTIATION_NTAR,MATCH(B33,PT_DIFFERENTIATION_NTAR_ID,0))</f>
        <v/>
      </c>
      <c r="H33" s="1774"/>
      <c r="I33" s="1650"/>
      <c r="J33" s="1685"/>
      <c r="K33" s="1777"/>
      <c r="L33" s="1774" t="s">
        <v>445</v>
      </c>
      <c r="M33" s="4668"/>
      <c r="N33" s="261"/>
      <c r="O33" s="1537"/>
      <c r="P33" s="1537"/>
    </row>
    <row r="34" spans="1:16" s="1924" customFormat="1" ht="18.75" hidden="1" customHeight="1">
      <c r="A34" s="1692"/>
      <c r="B34" s="1692"/>
      <c r="C34" s="298" t="s">
        <v>1194</v>
      </c>
      <c r="D34" s="4904"/>
      <c r="E34" s="4713"/>
      <c r="F34" s="4848"/>
      <c r="G34" s="4876"/>
      <c r="H34" s="1411"/>
      <c r="I34" s="573" t="s">
        <v>1195</v>
      </c>
      <c r="J34" s="497"/>
      <c r="K34" s="1411"/>
      <c r="L34" s="135"/>
      <c r="M34" s="4668"/>
      <c r="N34" s="261"/>
      <c r="O34" s="1537"/>
      <c r="P34" s="1537"/>
    </row>
    <row r="35" spans="1:16" s="1924" customFormat="1" ht="0.75" hidden="1" customHeight="1">
      <c r="A35" s="1692"/>
      <c r="B35" s="1692"/>
      <c r="C35" s="298" t="s">
        <v>1200</v>
      </c>
      <c r="D35" s="4904"/>
      <c r="E35" s="4713"/>
      <c r="F35" s="4848"/>
      <c r="G35" s="335"/>
      <c r="H35" s="1411"/>
      <c r="I35" s="573"/>
      <c r="J35" s="497"/>
      <c r="K35" s="1411"/>
      <c r="L35" s="135"/>
      <c r="M35" s="4668"/>
      <c r="N35" s="261"/>
      <c r="O35" s="1537"/>
      <c r="P35" s="1537"/>
    </row>
    <row r="36" spans="1:16" s="1924" customFormat="1" ht="18.75" hidden="1" customHeight="1">
      <c r="A36" s="1692" t="s">
        <v>238</v>
      </c>
      <c r="B36" s="1692" t="s">
        <v>239</v>
      </c>
      <c r="C36" s="298"/>
      <c r="D36" s="4904"/>
      <c r="E36" s="4713"/>
      <c r="F36" s="4848" t="str">
        <f>INDEX(PT_DIFFERENTIATION_VTAR,MATCH(A36,PT_DIFFERENTIATION_VTAR_ID,0))</f>
        <v>Тарифы на услуги по передаче тепловой энергии</v>
      </c>
      <c r="G36" s="4876" t="str">
        <f>INDEX(PT_DIFFERENTIATION_NTAR,MATCH(B36,PT_DIFFERENTIATION_NTAR_ID,0))</f>
        <v/>
      </c>
      <c r="H36" s="1774"/>
      <c r="I36" s="1650"/>
      <c r="J36" s="1685"/>
      <c r="K36" s="1777"/>
      <c r="L36" s="1774" t="s">
        <v>445</v>
      </c>
      <c r="M36" s="4668"/>
      <c r="N36" s="261"/>
      <c r="O36" s="1537"/>
      <c r="P36" s="1537"/>
    </row>
    <row r="37" spans="1:16" s="1924" customFormat="1" ht="18.75" hidden="1" customHeight="1">
      <c r="A37" s="1692"/>
      <c r="B37" s="1692"/>
      <c r="C37" s="298" t="s">
        <v>1194</v>
      </c>
      <c r="D37" s="4904"/>
      <c r="E37" s="4713"/>
      <c r="F37" s="4848"/>
      <c r="G37" s="4876"/>
      <c r="H37" s="1411"/>
      <c r="I37" s="573" t="s">
        <v>1195</v>
      </c>
      <c r="J37" s="497"/>
      <c r="K37" s="1411"/>
      <c r="L37" s="135"/>
      <c r="M37" s="4668"/>
      <c r="N37" s="261"/>
      <c r="O37" s="1537"/>
      <c r="P37" s="1537"/>
    </row>
    <row r="38" spans="1:16" s="1924" customFormat="1" ht="0.75" hidden="1" customHeight="1">
      <c r="A38" s="1692"/>
      <c r="B38" s="1692"/>
      <c r="C38" s="298" t="s">
        <v>1200</v>
      </c>
      <c r="D38" s="4904"/>
      <c r="E38" s="4713"/>
      <c r="F38" s="4848"/>
      <c r="G38" s="335"/>
      <c r="H38" s="1411"/>
      <c r="I38" s="573"/>
      <c r="J38" s="497"/>
      <c r="K38" s="1411"/>
      <c r="L38" s="135"/>
      <c r="M38" s="4668"/>
      <c r="N38" s="261"/>
      <c r="O38" s="1537"/>
      <c r="P38" s="1537"/>
    </row>
    <row r="39" spans="1:16" s="1924" customFormat="1" ht="18.75" hidden="1" customHeight="1">
      <c r="A39" s="1692" t="s">
        <v>244</v>
      </c>
      <c r="B39" s="1692" t="s">
        <v>245</v>
      </c>
      <c r="C39" s="298"/>
      <c r="D39" s="4904"/>
      <c r="E39" s="4713"/>
      <c r="F39" s="4848" t="str">
        <f>INDEX(PT_DIFFERENTIATION_VTAR,MATCH(A39,PT_DIFFERENTIATION_VTAR_ID,0))</f>
        <v>Тарифы на услуги по передаче теплоносителя</v>
      </c>
      <c r="G39" s="4876" t="str">
        <f>INDEX(PT_DIFFERENTIATION_NTAR,MATCH(B39,PT_DIFFERENTIATION_NTAR_ID,0))</f>
        <v/>
      </c>
      <c r="H39" s="1774"/>
      <c r="I39" s="1650"/>
      <c r="J39" s="1685"/>
      <c r="K39" s="1777"/>
      <c r="L39" s="1774" t="s">
        <v>445</v>
      </c>
      <c r="M39" s="4668"/>
      <c r="N39" s="261"/>
      <c r="O39" s="1537"/>
      <c r="P39" s="1537"/>
    </row>
    <row r="40" spans="1:16" s="1924" customFormat="1" ht="18.75" hidden="1" customHeight="1">
      <c r="A40" s="1692"/>
      <c r="B40" s="1692"/>
      <c r="C40" s="298" t="s">
        <v>1194</v>
      </c>
      <c r="D40" s="4904"/>
      <c r="E40" s="4713"/>
      <c r="F40" s="4848"/>
      <c r="G40" s="4876"/>
      <c r="H40" s="1411"/>
      <c r="I40" s="573" t="s">
        <v>1195</v>
      </c>
      <c r="J40" s="497"/>
      <c r="K40" s="1411"/>
      <c r="L40" s="135"/>
      <c r="M40" s="4668"/>
      <c r="N40" s="261"/>
      <c r="O40" s="1537"/>
      <c r="P40" s="1537"/>
    </row>
    <row r="41" spans="1:16" s="1924" customFormat="1" ht="0.75" hidden="1" customHeight="1">
      <c r="A41" s="1692"/>
      <c r="B41" s="1692"/>
      <c r="C41" s="298" t="s">
        <v>1200</v>
      </c>
      <c r="D41" s="4904"/>
      <c r="E41" s="4713"/>
      <c r="F41" s="4848"/>
      <c r="G41" s="335"/>
      <c r="H41" s="1411"/>
      <c r="I41" s="573"/>
      <c r="J41" s="497"/>
      <c r="K41" s="1411"/>
      <c r="L41" s="135"/>
      <c r="M41" s="4668"/>
      <c r="N41" s="261"/>
      <c r="O41" s="1537"/>
      <c r="P41" s="1537"/>
    </row>
    <row r="42" spans="1:16" s="1924" customFormat="1" ht="18.75" hidden="1" customHeight="1">
      <c r="A42" s="1692" t="s">
        <v>250</v>
      </c>
      <c r="B42" s="1692" t="s">
        <v>251</v>
      </c>
      <c r="C42" s="298"/>
      <c r="D42" s="4904"/>
      <c r="E42" s="4713"/>
      <c r="F42" s="4848" t="str">
        <f>INDEX(PT_DIFFERENTIATION_VTAR,MATCH(A42,PT_DIFFERENTIATION_VTAR_ID,0))</f>
        <v>Плата за услуги по поддержанию резервной тепловой мощности при отсутствии потребления тепловой энергии</v>
      </c>
      <c r="G42" s="4876" t="str">
        <f>INDEX(PT_DIFFERENTIATION_NTAR,MATCH(B42,PT_DIFFERENTIATION_NTAR_ID,0))</f>
        <v/>
      </c>
      <c r="H42" s="1774"/>
      <c r="I42" s="1650"/>
      <c r="J42" s="1685"/>
      <c r="K42" s="1777"/>
      <c r="L42" s="1774" t="s">
        <v>445</v>
      </c>
      <c r="M42" s="4668"/>
      <c r="N42" s="261"/>
      <c r="O42" s="1537"/>
      <c r="P42" s="1537"/>
    </row>
    <row r="43" spans="1:16" s="1924" customFormat="1" ht="18.75" hidden="1" customHeight="1">
      <c r="A43" s="1692"/>
      <c r="B43" s="1692"/>
      <c r="C43" s="298" t="s">
        <v>1194</v>
      </c>
      <c r="D43" s="4904"/>
      <c r="E43" s="4713"/>
      <c r="F43" s="4848"/>
      <c r="G43" s="4876"/>
      <c r="H43" s="1411"/>
      <c r="I43" s="573" t="s">
        <v>1195</v>
      </c>
      <c r="J43" s="497"/>
      <c r="K43" s="1411"/>
      <c r="L43" s="135"/>
      <c r="M43" s="4668"/>
      <c r="N43" s="261"/>
      <c r="O43" s="1537"/>
      <c r="P43" s="1537"/>
    </row>
    <row r="44" spans="1:16" s="1924" customFormat="1" ht="0.75" hidden="1" customHeight="1">
      <c r="A44" s="1692"/>
      <c r="B44" s="1692"/>
      <c r="C44" s="298" t="s">
        <v>1200</v>
      </c>
      <c r="D44" s="4904"/>
      <c r="E44" s="4713"/>
      <c r="F44" s="4848"/>
      <c r="G44" s="335"/>
      <c r="H44" s="1411"/>
      <c r="I44" s="573"/>
      <c r="J44" s="497"/>
      <c r="K44" s="1411"/>
      <c r="L44" s="135"/>
      <c r="M44" s="4668"/>
      <c r="N44" s="261"/>
      <c r="O44" s="1537"/>
      <c r="P44" s="1537"/>
    </row>
    <row r="45" spans="1:16" s="1924" customFormat="1" ht="18.75" hidden="1" customHeight="1">
      <c r="A45" s="1692" t="s">
        <v>256</v>
      </c>
      <c r="B45" s="1692" t="s">
        <v>257</v>
      </c>
      <c r="C45" s="298"/>
      <c r="D45" s="4904"/>
      <c r="E45" s="4713"/>
      <c r="F45" s="4848" t="str">
        <f>INDEX(PT_DIFFERENTIATION_VTAR,MATCH(A45,PT_DIFFERENTIATION_VTAR_ID,0))</f>
        <v>Плата за подключение (технологическое присоединение) к системе теплоснабжения</v>
      </c>
      <c r="G45" s="4876" t="str">
        <f>INDEX(PT_DIFFERENTIATION_NTAR,MATCH(B45,PT_DIFFERENTIATION_NTAR_ID,0))</f>
        <v/>
      </c>
      <c r="H45" s="1774"/>
      <c r="I45" s="1650"/>
      <c r="J45" s="1685"/>
      <c r="K45" s="1777"/>
      <c r="L45" s="1774" t="s">
        <v>445</v>
      </c>
      <c r="M45" s="4668"/>
      <c r="N45" s="261"/>
      <c r="O45" s="1537"/>
      <c r="P45" s="1537"/>
    </row>
    <row r="46" spans="1:16" s="1924" customFormat="1" ht="18.75" hidden="1" customHeight="1">
      <c r="A46" s="1692"/>
      <c r="B46" s="1692"/>
      <c r="C46" s="298" t="s">
        <v>1194</v>
      </c>
      <c r="D46" s="4904"/>
      <c r="E46" s="4713"/>
      <c r="F46" s="4848"/>
      <c r="G46" s="4876"/>
      <c r="H46" s="1411"/>
      <c r="I46" s="573" t="s">
        <v>1195</v>
      </c>
      <c r="J46" s="497"/>
      <c r="K46" s="1411"/>
      <c r="L46" s="135"/>
      <c r="M46" s="4668"/>
      <c r="N46" s="261"/>
      <c r="O46" s="1537"/>
      <c r="P46" s="1537"/>
    </row>
    <row r="47" spans="1:16" s="1924" customFormat="1" ht="0.75" hidden="1" customHeight="1">
      <c r="A47" s="1692"/>
      <c r="B47" s="1692"/>
      <c r="C47" s="298" t="s">
        <v>1200</v>
      </c>
      <c r="D47" s="4904"/>
      <c r="E47" s="4713"/>
      <c r="F47" s="4848"/>
      <c r="G47" s="335"/>
      <c r="H47" s="1411"/>
      <c r="I47" s="573"/>
      <c r="J47" s="497"/>
      <c r="K47" s="1411"/>
      <c r="L47" s="135"/>
      <c r="M47" s="4668"/>
      <c r="N47" s="261"/>
      <c r="O47" s="1537"/>
      <c r="P47" s="1537"/>
    </row>
    <row r="48" spans="1:16" s="1924" customFormat="1" ht="18.75" hidden="1" customHeight="1">
      <c r="A48" s="1692" t="s">
        <v>270</v>
      </c>
      <c r="B48" s="1692" t="s">
        <v>271</v>
      </c>
      <c r="C48" s="298"/>
      <c r="D48" s="4904"/>
      <c r="E48" s="4713"/>
      <c r="F48" s="4848" t="str">
        <f>INDEX(PT_DIFFERENTIATION_VTAR,MATCH(A48,PT_DIFFERENTIATION_VTAR_ID,0))</f>
        <v>Тариф на питьевую воду (питьевое водоснабжение)</v>
      </c>
      <c r="G48" s="4876" t="str">
        <f>INDEX(PT_DIFFERENTIATION_NTAR,MATCH(B48,PT_DIFFERENTIATION_NTAR_ID,0))</f>
        <v/>
      </c>
      <c r="H48" s="1774"/>
      <c r="I48" s="1650"/>
      <c r="J48" s="1685"/>
      <c r="K48" s="1777"/>
      <c r="L48" s="1774" t="s">
        <v>445</v>
      </c>
      <c r="M48" s="4668"/>
      <c r="N48" s="261"/>
      <c r="O48" s="1537"/>
      <c r="P48" s="1537"/>
    </row>
    <row r="49" spans="1:16" s="1924" customFormat="1" ht="18.75" hidden="1" customHeight="1">
      <c r="A49" s="1692"/>
      <c r="B49" s="1692"/>
      <c r="C49" s="298" t="s">
        <v>1194</v>
      </c>
      <c r="D49" s="4904"/>
      <c r="E49" s="4713"/>
      <c r="F49" s="4848"/>
      <c r="G49" s="4876"/>
      <c r="H49" s="1411"/>
      <c r="I49" s="573" t="s">
        <v>1195</v>
      </c>
      <c r="J49" s="497"/>
      <c r="K49" s="1411"/>
      <c r="L49" s="135"/>
      <c r="M49" s="4668"/>
      <c r="N49" s="261"/>
      <c r="O49" s="1537"/>
      <c r="P49" s="1537"/>
    </row>
    <row r="50" spans="1:16" s="1924" customFormat="1" ht="0.75" hidden="1" customHeight="1">
      <c r="A50" s="1692"/>
      <c r="B50" s="1692"/>
      <c r="C50" s="298" t="s">
        <v>1200</v>
      </c>
      <c r="D50" s="4904"/>
      <c r="E50" s="4713"/>
      <c r="F50" s="4848"/>
      <c r="G50" s="335"/>
      <c r="H50" s="1411"/>
      <c r="I50" s="573"/>
      <c r="J50" s="497"/>
      <c r="K50" s="1411"/>
      <c r="L50" s="135"/>
      <c r="M50" s="4668"/>
      <c r="N50" s="261"/>
      <c r="O50" s="1537"/>
      <c r="P50" s="1537"/>
    </row>
    <row r="51" spans="1:16" s="1924" customFormat="1" ht="18.75" hidden="1" customHeight="1">
      <c r="A51" s="1692" t="s">
        <v>275</v>
      </c>
      <c r="B51" s="1692" t="s">
        <v>276</v>
      </c>
      <c r="C51" s="298"/>
      <c r="D51" s="4904"/>
      <c r="E51" s="4713"/>
      <c r="F51" s="4848" t="str">
        <f>INDEX(PT_DIFFERENTIATION_VTAR,MATCH(A51,PT_DIFFERENTIATION_VTAR_ID,0))</f>
        <v>Тариф на техническую воду</v>
      </c>
      <c r="G51" s="4876" t="str">
        <f>INDEX(PT_DIFFERENTIATION_NTAR,MATCH(B51,PT_DIFFERENTIATION_NTAR_ID,0))</f>
        <v/>
      </c>
      <c r="H51" s="1774"/>
      <c r="I51" s="1650"/>
      <c r="J51" s="1685"/>
      <c r="K51" s="1777"/>
      <c r="L51" s="1774" t="s">
        <v>445</v>
      </c>
      <c r="M51" s="4668"/>
      <c r="N51" s="261"/>
      <c r="O51" s="1537"/>
      <c r="P51" s="1537"/>
    </row>
    <row r="52" spans="1:16" s="1924" customFormat="1" ht="18.75" hidden="1" customHeight="1">
      <c r="A52" s="1692"/>
      <c r="B52" s="1692"/>
      <c r="C52" s="298" t="s">
        <v>1194</v>
      </c>
      <c r="D52" s="4904"/>
      <c r="E52" s="4713"/>
      <c r="F52" s="4848"/>
      <c r="G52" s="4876"/>
      <c r="H52" s="1411"/>
      <c r="I52" s="573" t="s">
        <v>1195</v>
      </c>
      <c r="J52" s="497"/>
      <c r="K52" s="1411"/>
      <c r="L52" s="135"/>
      <c r="M52" s="4668"/>
      <c r="N52" s="261"/>
      <c r="O52" s="1537"/>
      <c r="P52" s="1537"/>
    </row>
    <row r="53" spans="1:16" s="1924" customFormat="1" ht="0.75" hidden="1" customHeight="1">
      <c r="A53" s="1692"/>
      <c r="B53" s="1692"/>
      <c r="C53" s="298" t="s">
        <v>1200</v>
      </c>
      <c r="D53" s="4904"/>
      <c r="E53" s="4713"/>
      <c r="F53" s="4848"/>
      <c r="G53" s="335"/>
      <c r="H53" s="1411"/>
      <c r="I53" s="573"/>
      <c r="J53" s="497"/>
      <c r="K53" s="1411"/>
      <c r="L53" s="135"/>
      <c r="M53" s="4668"/>
      <c r="N53" s="261"/>
      <c r="O53" s="1537"/>
      <c r="P53" s="1537"/>
    </row>
    <row r="54" spans="1:16" s="1924" customFormat="1" ht="18.75" hidden="1" customHeight="1">
      <c r="A54" s="1692" t="s">
        <v>280</v>
      </c>
      <c r="B54" s="1692" t="s">
        <v>281</v>
      </c>
      <c r="C54" s="298"/>
      <c r="D54" s="4904"/>
      <c r="E54" s="4713"/>
      <c r="F54" s="4848" t="str">
        <f>INDEX(PT_DIFFERENTIATION_VTAR,MATCH(A54,PT_DIFFERENTIATION_VTAR_ID,0))</f>
        <v>Тариф на транспортировку воды</v>
      </c>
      <c r="G54" s="4876" t="str">
        <f>INDEX(PT_DIFFERENTIATION_NTAR,MATCH(B54,PT_DIFFERENTIATION_NTAR_ID,0))</f>
        <v/>
      </c>
      <c r="H54" s="1774"/>
      <c r="I54" s="1650"/>
      <c r="J54" s="1685"/>
      <c r="K54" s="1777"/>
      <c r="L54" s="1774" t="s">
        <v>445</v>
      </c>
      <c r="M54" s="4668"/>
      <c r="N54" s="261"/>
      <c r="O54" s="1537"/>
      <c r="P54" s="1537"/>
    </row>
    <row r="55" spans="1:16" s="1924" customFormat="1" ht="18.75" hidden="1" customHeight="1">
      <c r="A55" s="1692"/>
      <c r="B55" s="1692"/>
      <c r="C55" s="298" t="s">
        <v>1194</v>
      </c>
      <c r="D55" s="4904"/>
      <c r="E55" s="4713"/>
      <c r="F55" s="4848"/>
      <c r="G55" s="4876"/>
      <c r="H55" s="1411"/>
      <c r="I55" s="573" t="s">
        <v>1195</v>
      </c>
      <c r="J55" s="497"/>
      <c r="K55" s="1411"/>
      <c r="L55" s="135"/>
      <c r="M55" s="4668"/>
      <c r="N55" s="261"/>
      <c r="O55" s="1537"/>
      <c r="P55" s="1537"/>
    </row>
    <row r="56" spans="1:16" s="1924" customFormat="1" ht="0.75" hidden="1" customHeight="1">
      <c r="A56" s="1692"/>
      <c r="B56" s="1692"/>
      <c r="C56" s="298" t="s">
        <v>1200</v>
      </c>
      <c r="D56" s="4904"/>
      <c r="E56" s="4713"/>
      <c r="F56" s="4848"/>
      <c r="G56" s="335"/>
      <c r="H56" s="1411"/>
      <c r="I56" s="573"/>
      <c r="J56" s="497"/>
      <c r="K56" s="1411"/>
      <c r="L56" s="135"/>
      <c r="M56" s="4668"/>
      <c r="N56" s="261"/>
      <c r="O56" s="1537"/>
      <c r="P56" s="1537"/>
    </row>
    <row r="57" spans="1:16" s="1924" customFormat="1" ht="18.75" hidden="1" customHeight="1">
      <c r="A57" s="1692" t="s">
        <v>285</v>
      </c>
      <c r="B57" s="1692" t="s">
        <v>286</v>
      </c>
      <c r="C57" s="298"/>
      <c r="D57" s="4904"/>
      <c r="E57" s="4713"/>
      <c r="F57" s="4848" t="str">
        <f>INDEX(PT_DIFFERENTIATION_VTAR,MATCH(A57,PT_DIFFERENTIATION_VTAR_ID,0))</f>
        <v>Тариф на подвоз воды</v>
      </c>
      <c r="G57" s="4876" t="str">
        <f>INDEX(PT_DIFFERENTIATION_NTAR,MATCH(B57,PT_DIFFERENTIATION_NTAR_ID,0))</f>
        <v/>
      </c>
      <c r="H57" s="1774"/>
      <c r="I57" s="1650"/>
      <c r="J57" s="1685"/>
      <c r="K57" s="1777"/>
      <c r="L57" s="1774" t="s">
        <v>445</v>
      </c>
      <c r="M57" s="4668"/>
      <c r="N57" s="261"/>
      <c r="O57" s="1537"/>
      <c r="P57" s="1537"/>
    </row>
    <row r="58" spans="1:16" s="1924" customFormat="1" ht="18.75" hidden="1" customHeight="1">
      <c r="A58" s="1692"/>
      <c r="B58" s="1692"/>
      <c r="C58" s="298" t="s">
        <v>1194</v>
      </c>
      <c r="D58" s="4904"/>
      <c r="E58" s="4713"/>
      <c r="F58" s="4848"/>
      <c r="G58" s="4876"/>
      <c r="H58" s="1411"/>
      <c r="I58" s="573" t="s">
        <v>1195</v>
      </c>
      <c r="J58" s="497"/>
      <c r="K58" s="1411"/>
      <c r="L58" s="135"/>
      <c r="M58" s="4668"/>
      <c r="N58" s="261"/>
      <c r="O58" s="1537"/>
      <c r="P58" s="1537"/>
    </row>
    <row r="59" spans="1:16" s="1924" customFormat="1" ht="0.75" hidden="1" customHeight="1">
      <c r="A59" s="1692"/>
      <c r="B59" s="1692"/>
      <c r="C59" s="298" t="s">
        <v>1200</v>
      </c>
      <c r="D59" s="4904"/>
      <c r="E59" s="4713"/>
      <c r="F59" s="4848"/>
      <c r="G59" s="335"/>
      <c r="H59" s="1411"/>
      <c r="I59" s="573"/>
      <c r="J59" s="497"/>
      <c r="K59" s="1411"/>
      <c r="L59" s="135"/>
      <c r="M59" s="4668"/>
      <c r="N59" s="261"/>
      <c r="O59" s="1537"/>
      <c r="P59" s="1537"/>
    </row>
    <row r="60" spans="1:16" s="1924" customFormat="1" ht="18.75" hidden="1" customHeight="1">
      <c r="A60" s="1692" t="s">
        <v>290</v>
      </c>
      <c r="B60" s="1692" t="s">
        <v>291</v>
      </c>
      <c r="C60" s="298"/>
      <c r="D60" s="4904"/>
      <c r="E60" s="4713"/>
      <c r="F60" s="4848" t="str">
        <f>INDEX(PT_DIFFERENTIATION_VTAR,MATCH(A60,PT_DIFFERENTIATION_VTAR_ID,0))</f>
        <v>Тариф на подключение (технологическое присоединение) к централизованной системе холодного водоснабжения</v>
      </c>
      <c r="G60" s="4876" t="str">
        <f>INDEX(PT_DIFFERENTIATION_NTAR,MATCH(B60,PT_DIFFERENTIATION_NTAR_ID,0))</f>
        <v/>
      </c>
      <c r="H60" s="1774"/>
      <c r="I60" s="1650"/>
      <c r="J60" s="1685"/>
      <c r="K60" s="1777"/>
      <c r="L60" s="1774" t="s">
        <v>445</v>
      </c>
      <c r="M60" s="4668"/>
      <c r="N60" s="261"/>
      <c r="O60" s="1537"/>
      <c r="P60" s="1537"/>
    </row>
    <row r="61" spans="1:16" s="1924" customFormat="1" ht="18.75" hidden="1" customHeight="1">
      <c r="A61" s="1692"/>
      <c r="B61" s="1692"/>
      <c r="C61" s="298" t="s">
        <v>1194</v>
      </c>
      <c r="D61" s="4904"/>
      <c r="E61" s="4713"/>
      <c r="F61" s="4848"/>
      <c r="G61" s="4876"/>
      <c r="H61" s="1411"/>
      <c r="I61" s="573" t="s">
        <v>1195</v>
      </c>
      <c r="J61" s="497"/>
      <c r="K61" s="1411"/>
      <c r="L61" s="135"/>
      <c r="M61" s="4668"/>
      <c r="N61" s="261"/>
      <c r="O61" s="1537"/>
      <c r="P61" s="1537"/>
    </row>
    <row r="62" spans="1:16" s="1924" customFormat="1" ht="0.75" hidden="1" customHeight="1">
      <c r="A62" s="1692"/>
      <c r="B62" s="1692"/>
      <c r="C62" s="298" t="s">
        <v>1200</v>
      </c>
      <c r="D62" s="4904"/>
      <c r="E62" s="4713"/>
      <c r="F62" s="4848"/>
      <c r="G62" s="335"/>
      <c r="H62" s="1411"/>
      <c r="I62" s="573"/>
      <c r="J62" s="497"/>
      <c r="K62" s="1411"/>
      <c r="L62" s="135"/>
      <c r="M62" s="4668"/>
      <c r="N62" s="261"/>
      <c r="O62" s="1537"/>
      <c r="P62" s="1537"/>
    </row>
    <row r="63" spans="1:16" s="1924" customFormat="1" ht="18.75" hidden="1" customHeight="1">
      <c r="A63" s="1692" t="s">
        <v>295</v>
      </c>
      <c r="B63" s="1692" t="s">
        <v>296</v>
      </c>
      <c r="C63" s="298"/>
      <c r="D63" s="4904"/>
      <c r="E63" s="4713"/>
      <c r="F63" s="4848" t="str">
        <f>INDEX(PT_DIFFERENTIATION_VTAR,MATCH(A63,PT_DIFFERENTIATION_VTAR_ID,0))</f>
        <v>Тариф на горячую воду (горячее водоснабжение)</v>
      </c>
      <c r="G63" s="4876" t="str">
        <f>INDEX(PT_DIFFERENTIATION_NTAR,MATCH(B63,PT_DIFFERENTIATION_NTAR_ID,0))</f>
        <v/>
      </c>
      <c r="H63" s="1774"/>
      <c r="I63" s="1650"/>
      <c r="J63" s="1685"/>
      <c r="K63" s="1777"/>
      <c r="L63" s="1774" t="s">
        <v>445</v>
      </c>
      <c r="M63" s="4668"/>
      <c r="N63" s="261"/>
      <c r="O63" s="1537"/>
      <c r="P63" s="1537"/>
    </row>
    <row r="64" spans="1:16" s="1924" customFormat="1" ht="18.75" hidden="1" customHeight="1">
      <c r="A64" s="1692"/>
      <c r="B64" s="1692"/>
      <c r="C64" s="298" t="s">
        <v>1194</v>
      </c>
      <c r="D64" s="4904"/>
      <c r="E64" s="4713"/>
      <c r="F64" s="4848"/>
      <c r="G64" s="4876"/>
      <c r="H64" s="1411"/>
      <c r="I64" s="573" t="s">
        <v>1195</v>
      </c>
      <c r="J64" s="497"/>
      <c r="K64" s="1411"/>
      <c r="L64" s="135"/>
      <c r="M64" s="4668"/>
      <c r="N64" s="261"/>
      <c r="O64" s="1537"/>
      <c r="P64" s="1537"/>
    </row>
    <row r="65" spans="1:33" s="1924" customFormat="1" ht="0.75" hidden="1" customHeight="1">
      <c r="A65" s="1692"/>
      <c r="B65" s="1692"/>
      <c r="C65" s="298" t="s">
        <v>1200</v>
      </c>
      <c r="D65" s="4904"/>
      <c r="E65" s="4713"/>
      <c r="F65" s="4848"/>
      <c r="G65" s="335"/>
      <c r="H65" s="1411"/>
      <c r="I65" s="573"/>
      <c r="J65" s="497"/>
      <c r="K65" s="1411"/>
      <c r="L65" s="135"/>
      <c r="M65" s="4668"/>
      <c r="N65" s="261"/>
      <c r="O65" s="1537"/>
      <c r="P65" s="1537"/>
    </row>
    <row r="66" spans="1:33" s="1924" customFormat="1" ht="18.75" hidden="1" customHeight="1">
      <c r="A66" s="1692" t="s">
        <v>300</v>
      </c>
      <c r="B66" s="1692" t="s">
        <v>301</v>
      </c>
      <c r="C66" s="298"/>
      <c r="D66" s="4904"/>
      <c r="E66" s="4713"/>
      <c r="F66" s="4848" t="str">
        <f>INDEX(PT_DIFFERENTIATION_VTAR,MATCH(A66,PT_DIFFERENTIATION_VTAR_ID,0))</f>
        <v>Тариф на транспортировку горячей воды</v>
      </c>
      <c r="G66" s="4876" t="str">
        <f>INDEX(PT_DIFFERENTIATION_NTAR,MATCH(B66,PT_DIFFERENTIATION_NTAR_ID,0))</f>
        <v/>
      </c>
      <c r="H66" s="1774"/>
      <c r="I66" s="1650"/>
      <c r="J66" s="1685"/>
      <c r="K66" s="1777"/>
      <c r="L66" s="1774" t="s">
        <v>445</v>
      </c>
      <c r="M66" s="4668"/>
      <c r="N66" s="261"/>
      <c r="O66" s="1537"/>
      <c r="P66" s="1537"/>
    </row>
    <row r="67" spans="1:33" s="1924" customFormat="1" ht="18.75" hidden="1" customHeight="1">
      <c r="A67" s="1692"/>
      <c r="B67" s="1692"/>
      <c r="C67" s="298" t="s">
        <v>1194</v>
      </c>
      <c r="D67" s="4904"/>
      <c r="E67" s="4713"/>
      <c r="F67" s="4848"/>
      <c r="G67" s="4876"/>
      <c r="H67" s="1411"/>
      <c r="I67" s="573" t="s">
        <v>1195</v>
      </c>
      <c r="J67" s="497"/>
      <c r="K67" s="1411"/>
      <c r="L67" s="135"/>
      <c r="M67" s="4668"/>
      <c r="N67" s="261"/>
      <c r="O67" s="1537"/>
      <c r="P67" s="1537"/>
    </row>
    <row r="68" spans="1:33" s="1924" customFormat="1" ht="0.75" hidden="1" customHeight="1">
      <c r="A68" s="1692"/>
      <c r="B68" s="1692"/>
      <c r="C68" s="298" t="s">
        <v>1200</v>
      </c>
      <c r="D68" s="4904"/>
      <c r="E68" s="4713"/>
      <c r="F68" s="4848"/>
      <c r="G68" s="335"/>
      <c r="H68" s="1411"/>
      <c r="I68" s="573"/>
      <c r="J68" s="497"/>
      <c r="K68" s="1411"/>
      <c r="L68" s="135"/>
      <c r="M68" s="4668"/>
      <c r="N68" s="261"/>
      <c r="O68" s="1537"/>
      <c r="P68" s="1537"/>
    </row>
    <row r="69" spans="1:33" s="1924" customFormat="1" ht="18.75" hidden="1" customHeight="1">
      <c r="A69" s="1692" t="s">
        <v>305</v>
      </c>
      <c r="B69" s="1692" t="s">
        <v>306</v>
      </c>
      <c r="C69" s="298"/>
      <c r="D69" s="4904"/>
      <c r="E69" s="4713"/>
      <c r="F69" s="4848" t="str">
        <f>INDEX(PT_DIFFERENTIATION_VTAR,MATCH(A69,PT_DIFFERENTIATION_VTAR_ID,0))</f>
        <v>Тариф на подключение (технологическое присоединение) к централизованной системе горячего водоснабжения</v>
      </c>
      <c r="G69" s="4876" t="str">
        <f>INDEX(PT_DIFFERENTIATION_NTAR,MATCH(B69,PT_DIFFERENTIATION_NTAR_ID,0))</f>
        <v/>
      </c>
      <c r="H69" s="1774"/>
      <c r="I69" s="1650"/>
      <c r="J69" s="1685"/>
      <c r="K69" s="1777"/>
      <c r="L69" s="1774" t="s">
        <v>445</v>
      </c>
      <c r="M69" s="4668"/>
      <c r="N69" s="261"/>
      <c r="O69" s="1537"/>
      <c r="P69" s="1537"/>
    </row>
    <row r="70" spans="1:33" s="1924" customFormat="1" ht="18.75" hidden="1" customHeight="1">
      <c r="A70" s="1692"/>
      <c r="B70" s="1692"/>
      <c r="C70" s="298" t="s">
        <v>1194</v>
      </c>
      <c r="D70" s="4904"/>
      <c r="E70" s="4713"/>
      <c r="F70" s="4848"/>
      <c r="G70" s="4876"/>
      <c r="H70" s="1411"/>
      <c r="I70" s="573" t="s">
        <v>1195</v>
      </c>
      <c r="J70" s="497"/>
      <c r="K70" s="1411"/>
      <c r="L70" s="135"/>
      <c r="M70" s="4668"/>
      <c r="N70" s="261"/>
      <c r="O70" s="1537"/>
      <c r="P70" s="1537"/>
    </row>
    <row r="71" spans="1:33" s="1924" customFormat="1" ht="0.75" hidden="1" customHeight="1">
      <c r="A71" s="1692"/>
      <c r="B71" s="1692"/>
      <c r="C71" s="298" t="s">
        <v>1200</v>
      </c>
      <c r="D71" s="4904"/>
      <c r="E71" s="4713"/>
      <c r="F71" s="4848"/>
      <c r="G71" s="335"/>
      <c r="H71" s="1411"/>
      <c r="I71" s="573"/>
      <c r="J71" s="497"/>
      <c r="K71" s="1411"/>
      <c r="L71" s="135"/>
      <c r="M71" s="4668"/>
      <c r="N71" s="261"/>
      <c r="O71" s="1537"/>
      <c r="P71" s="1537"/>
    </row>
    <row r="72" spans="1:33" s="1924" customFormat="1" ht="18.75" hidden="1" customHeight="1">
      <c r="A72" s="1692" t="s">
        <v>312</v>
      </c>
      <c r="B72" s="1692" t="s">
        <v>313</v>
      </c>
      <c r="C72" s="298"/>
      <c r="D72" s="4904"/>
      <c r="E72" s="4713"/>
      <c r="F72" s="4848" t="str">
        <f>INDEX(PT_DIFFERENTIATION_VTAR,MATCH(A72,PT_DIFFERENTIATION_VTAR_ID,0))</f>
        <v>Тариф на водоотведение</v>
      </c>
      <c r="G72" s="4876" t="str">
        <f>INDEX(PT_DIFFERENTIATION_NTAR,MATCH(B72,PT_DIFFERENTIATION_NTAR_ID,0))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H72" s="1774"/>
      <c r="I72" s="1650"/>
      <c r="J72" s="1685"/>
      <c r="K72" s="1777"/>
      <c r="L72" s="1774" t="s">
        <v>445</v>
      </c>
      <c r="M72" s="4668"/>
      <c r="N72" s="261"/>
      <c r="O72" s="1537"/>
      <c r="P72" s="1537"/>
    </row>
    <row r="73" spans="1:33" s="1924" customFormat="1" ht="18.75" hidden="1" customHeight="1">
      <c r="A73" s="1692"/>
      <c r="B73" s="1692"/>
      <c r="C73" s="298" t="s">
        <v>1194</v>
      </c>
      <c r="D73" s="4904"/>
      <c r="E73" s="4713"/>
      <c r="F73" s="4848"/>
      <c r="G73" s="4876"/>
      <c r="H73" s="1411"/>
      <c r="I73" s="573" t="s">
        <v>1195</v>
      </c>
      <c r="J73" s="497"/>
      <c r="K73" s="1411"/>
      <c r="L73" s="135"/>
      <c r="M73" s="4668"/>
      <c r="N73" s="261"/>
      <c r="O73" s="1537"/>
      <c r="P73" s="1537"/>
    </row>
    <row r="74" spans="1:33" s="4102" customFormat="1" ht="18.75" customHeight="1">
      <c r="A74" s="2041" t="s">
        <v>312</v>
      </c>
      <c r="B74" s="2041" t="s">
        <v>319</v>
      </c>
      <c r="C74" s="4103"/>
      <c r="D74" s="4905"/>
      <c r="E74" s="4906"/>
      <c r="F74" s="4906"/>
      <c r="G74" s="4876" t="str">
        <f>INDEX(PT_DIFFERENTIATION_NTAR,MATCH(B74,PT_DIFFERENTIATION_NTAR_ID,0))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H74" s="4104"/>
      <c r="I74" s="4105"/>
      <c r="J74" s="4106"/>
      <c r="K74" s="4107"/>
      <c r="L74" s="4104" t="s">
        <v>445</v>
      </c>
      <c r="M74" s="4794"/>
      <c r="N74" s="4109"/>
      <c r="O74" s="1979"/>
      <c r="P74" s="1979"/>
      <c r="Q74" s="4110"/>
      <c r="R74" s="4110"/>
      <c r="S74" s="4110"/>
      <c r="T74" s="4110"/>
      <c r="U74" s="4110"/>
      <c r="V74" s="4110"/>
      <c r="W74" s="4110"/>
      <c r="X74" s="4110"/>
      <c r="Y74" s="4110"/>
      <c r="Z74" s="4110"/>
      <c r="AA74" s="4110"/>
      <c r="AB74" s="4110"/>
      <c r="AC74" s="4110"/>
      <c r="AD74" s="4110"/>
      <c r="AE74" s="4110"/>
      <c r="AF74" s="4110"/>
      <c r="AG74" s="4110"/>
    </row>
    <row r="75" spans="1:33" s="4110" customFormat="1" ht="18.75" customHeight="1">
      <c r="A75" s="2041"/>
      <c r="B75" s="2041"/>
      <c r="C75" s="4103" t="s">
        <v>1194</v>
      </c>
      <c r="D75" s="4905"/>
      <c r="E75" s="4906"/>
      <c r="F75" s="4906"/>
      <c r="G75" s="4876"/>
      <c r="H75" s="4111"/>
      <c r="I75" s="4112" t="s">
        <v>1195</v>
      </c>
      <c r="J75" s="4113"/>
      <c r="K75" s="4114"/>
      <c r="L75" s="4115"/>
      <c r="M75" s="4794"/>
      <c r="N75" s="4109"/>
      <c r="O75" s="1979"/>
      <c r="P75" s="1979"/>
    </row>
    <row r="76" spans="1:33" s="4110" customFormat="1" ht="18.75" customHeight="1">
      <c r="A76" s="2041" t="s">
        <v>312</v>
      </c>
      <c r="B76" s="2041" t="s">
        <v>324</v>
      </c>
      <c r="C76" s="4103"/>
      <c r="D76" s="4905"/>
      <c r="E76" s="4906"/>
      <c r="F76" s="4906"/>
      <c r="G76" s="4876" t="str">
        <f>INDEX(PT_DIFFERENTIATION_NTAR,MATCH(B76,PT_DIFFERENTIATION_NTAR_ID,0))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H76" s="4104"/>
      <c r="I76" s="4105"/>
      <c r="J76" s="4106"/>
      <c r="K76" s="4107"/>
      <c r="L76" s="4104" t="s">
        <v>445</v>
      </c>
      <c r="M76" s="4794"/>
      <c r="N76" s="4109"/>
      <c r="O76" s="1979"/>
      <c r="P76" s="1979"/>
    </row>
    <row r="77" spans="1:33" s="4110" customFormat="1" ht="18.75" customHeight="1">
      <c r="A77" s="2041"/>
      <c r="B77" s="2041"/>
      <c r="C77" s="4103" t="s">
        <v>1194</v>
      </c>
      <c r="D77" s="4905"/>
      <c r="E77" s="4906"/>
      <c r="F77" s="4906"/>
      <c r="G77" s="4876"/>
      <c r="H77" s="4116"/>
      <c r="I77" s="4117" t="s">
        <v>1195</v>
      </c>
      <c r="J77" s="4118"/>
      <c r="K77" s="4119"/>
      <c r="L77" s="4120"/>
      <c r="M77" s="4794"/>
      <c r="N77" s="4109"/>
      <c r="O77" s="1979"/>
      <c r="P77" s="1979"/>
    </row>
    <row r="78" spans="1:33" s="4110" customFormat="1" ht="18.75" customHeight="1">
      <c r="A78" s="2041" t="s">
        <v>312</v>
      </c>
      <c r="B78" s="2041" t="s">
        <v>329</v>
      </c>
      <c r="C78" s="4103"/>
      <c r="D78" s="4905"/>
      <c r="E78" s="4906"/>
      <c r="F78" s="4906"/>
      <c r="G78" s="4876" t="str">
        <f>INDEX(PT_DIFFERENTIATION_NTAR,MATCH(B78,PT_DIFFERENTIATION_NTAR_ID,0))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H78" s="4104"/>
      <c r="I78" s="4105"/>
      <c r="J78" s="4106"/>
      <c r="K78" s="4107"/>
      <c r="L78" s="4104" t="s">
        <v>445</v>
      </c>
      <c r="M78" s="4794"/>
      <c r="N78" s="4109"/>
      <c r="O78" s="1979"/>
      <c r="P78" s="1979"/>
    </row>
    <row r="79" spans="1:33" s="4110" customFormat="1" ht="18.75" customHeight="1">
      <c r="A79" s="2041"/>
      <c r="B79" s="2041"/>
      <c r="C79" s="4103" t="s">
        <v>1194</v>
      </c>
      <c r="D79" s="4905"/>
      <c r="E79" s="4906"/>
      <c r="F79" s="4906"/>
      <c r="G79" s="4876"/>
      <c r="H79" s="4121"/>
      <c r="I79" s="4122" t="s">
        <v>1195</v>
      </c>
      <c r="J79" s="4123"/>
      <c r="K79" s="4124"/>
      <c r="L79" s="4125"/>
      <c r="M79" s="4794"/>
      <c r="N79" s="4109"/>
      <c r="O79" s="1979"/>
      <c r="P79" s="1979"/>
    </row>
    <row r="80" spans="1:33" s="4110" customFormat="1" ht="18.75" customHeight="1">
      <c r="A80" s="2041" t="s">
        <v>312</v>
      </c>
      <c r="B80" s="2041" t="s">
        <v>334</v>
      </c>
      <c r="C80" s="4103"/>
      <c r="D80" s="4905"/>
      <c r="E80" s="4906"/>
      <c r="F80" s="4906"/>
      <c r="G80" s="4876" t="str">
        <f>INDEX(PT_DIFFERENTIATION_NTAR,MATCH(B80,PT_DIFFERENTIATION_NTAR_ID,0))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H80" s="4104"/>
      <c r="I80" s="4105"/>
      <c r="J80" s="4106"/>
      <c r="K80" s="4107"/>
      <c r="L80" s="4104" t="s">
        <v>445</v>
      </c>
      <c r="M80" s="4794"/>
      <c r="N80" s="4109"/>
      <c r="O80" s="1979"/>
      <c r="P80" s="1979"/>
    </row>
    <row r="81" spans="1:16" s="4110" customFormat="1" ht="18.75" customHeight="1">
      <c r="A81" s="2041"/>
      <c r="B81" s="2041"/>
      <c r="C81" s="4103" t="s">
        <v>1194</v>
      </c>
      <c r="D81" s="4905"/>
      <c r="E81" s="4906"/>
      <c r="F81" s="4906"/>
      <c r="G81" s="4876"/>
      <c r="H81" s="4126"/>
      <c r="I81" s="4127" t="s">
        <v>1195</v>
      </c>
      <c r="J81" s="4128"/>
      <c r="K81" s="4129"/>
      <c r="L81" s="4130"/>
      <c r="M81" s="4794"/>
      <c r="N81" s="4109"/>
      <c r="O81" s="1979"/>
      <c r="P81" s="1979"/>
    </row>
    <row r="82" spans="1:16" s="4110" customFormat="1" ht="18.75" customHeight="1">
      <c r="A82" s="2041" t="s">
        <v>312</v>
      </c>
      <c r="B82" s="2041" t="s">
        <v>339</v>
      </c>
      <c r="C82" s="4103"/>
      <c r="D82" s="4905"/>
      <c r="E82" s="4906"/>
      <c r="F82" s="4906"/>
      <c r="G82" s="4876" t="str">
        <f>INDEX(PT_DIFFERENTIATION_NTAR,MATCH(B82,PT_DIFFERENTIATION_NTAR_ID,0))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H82" s="4104"/>
      <c r="I82" s="4105"/>
      <c r="J82" s="4106"/>
      <c r="K82" s="4107"/>
      <c r="L82" s="4104" t="s">
        <v>445</v>
      </c>
      <c r="M82" s="4794"/>
      <c r="N82" s="4109"/>
      <c r="O82" s="1979"/>
      <c r="P82" s="1979"/>
    </row>
    <row r="83" spans="1:16" s="4110" customFormat="1" ht="18.75" customHeight="1">
      <c r="A83" s="2041"/>
      <c r="B83" s="2041"/>
      <c r="C83" s="4103" t="s">
        <v>1194</v>
      </c>
      <c r="D83" s="4905"/>
      <c r="E83" s="4906"/>
      <c r="F83" s="4906"/>
      <c r="G83" s="4876"/>
      <c r="H83" s="4131"/>
      <c r="I83" s="4132" t="s">
        <v>1195</v>
      </c>
      <c r="J83" s="4133"/>
      <c r="K83" s="4134"/>
      <c r="L83" s="4135"/>
      <c r="M83" s="4794"/>
      <c r="N83" s="4109"/>
      <c r="O83" s="1979"/>
      <c r="P83" s="1979"/>
    </row>
    <row r="84" spans="1:16" s="4110" customFormat="1" ht="18.75" customHeight="1">
      <c r="A84" s="2041" t="s">
        <v>312</v>
      </c>
      <c r="B84" s="2041" t="s">
        <v>344</v>
      </c>
      <c r="C84" s="4103"/>
      <c r="D84" s="4905"/>
      <c r="E84" s="4906"/>
      <c r="F84" s="4906"/>
      <c r="G84" s="4876" t="str">
        <f>INDEX(PT_DIFFERENTIATION_NTAR,MATCH(B84,PT_DIFFERENTIATION_NTAR_ID,0))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H84" s="4104"/>
      <c r="I84" s="4105"/>
      <c r="J84" s="4106"/>
      <c r="K84" s="4107"/>
      <c r="L84" s="4104" t="s">
        <v>445</v>
      </c>
      <c r="M84" s="4794"/>
      <c r="N84" s="4109"/>
      <c r="O84" s="1979"/>
      <c r="P84" s="1979"/>
    </row>
    <row r="85" spans="1:16" s="4110" customFormat="1" ht="18.75" customHeight="1">
      <c r="A85" s="2041"/>
      <c r="B85" s="2041"/>
      <c r="C85" s="4103" t="s">
        <v>1194</v>
      </c>
      <c r="D85" s="4905"/>
      <c r="E85" s="4906"/>
      <c r="F85" s="4906"/>
      <c r="G85" s="4876"/>
      <c r="H85" s="4136"/>
      <c r="I85" s="4137" t="s">
        <v>1195</v>
      </c>
      <c r="J85" s="4138"/>
      <c r="K85" s="4139"/>
      <c r="L85" s="4140"/>
      <c r="M85" s="4794"/>
      <c r="N85" s="4109"/>
      <c r="O85" s="1979"/>
      <c r="P85" s="1979"/>
    </row>
    <row r="86" spans="1:16" s="4110" customFormat="1" ht="18.75" customHeight="1">
      <c r="A86" s="2041" t="s">
        <v>312</v>
      </c>
      <c r="B86" s="2041" t="s">
        <v>349</v>
      </c>
      <c r="C86" s="4103"/>
      <c r="D86" s="4905"/>
      <c r="E86" s="4906"/>
      <c r="F86" s="4906"/>
      <c r="G86" s="4876" t="str">
        <f>INDEX(PT_DIFFERENTIATION_NTAR,MATCH(B86,PT_DIFFERENTIATION_NTAR_ID,0))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H86" s="4104"/>
      <c r="I86" s="4105"/>
      <c r="J86" s="4106"/>
      <c r="K86" s="4107"/>
      <c r="L86" s="4104" t="s">
        <v>445</v>
      </c>
      <c r="M86" s="4794"/>
      <c r="N86" s="4109"/>
      <c r="O86" s="1979"/>
      <c r="P86" s="1979"/>
    </row>
    <row r="87" spans="1:16" s="4110" customFormat="1" ht="18.75" customHeight="1">
      <c r="A87" s="2041"/>
      <c r="B87" s="2041"/>
      <c r="C87" s="4103" t="s">
        <v>1194</v>
      </c>
      <c r="D87" s="4905"/>
      <c r="E87" s="4906"/>
      <c r="F87" s="4906"/>
      <c r="G87" s="4876"/>
      <c r="H87" s="4141"/>
      <c r="I87" s="4142" t="s">
        <v>1195</v>
      </c>
      <c r="J87" s="4143"/>
      <c r="K87" s="4144"/>
      <c r="L87" s="4145"/>
      <c r="M87" s="4794"/>
      <c r="N87" s="4109"/>
      <c r="O87" s="1979"/>
      <c r="P87" s="1979"/>
    </row>
    <row r="88" spans="1:16" s="4110" customFormat="1" ht="18.75" customHeight="1">
      <c r="A88" s="2041" t="s">
        <v>312</v>
      </c>
      <c r="B88" s="2041" t="s">
        <v>354</v>
      </c>
      <c r="C88" s="4103"/>
      <c r="D88" s="4905"/>
      <c r="E88" s="4906"/>
      <c r="F88" s="4906"/>
      <c r="G88" s="4876" t="str">
        <f>INDEX(PT_DIFFERENTIATION_NTAR,MATCH(B88,PT_DIFFERENTIATION_NTAR_ID,0))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H88" s="4104"/>
      <c r="I88" s="4105"/>
      <c r="J88" s="4106"/>
      <c r="K88" s="4107"/>
      <c r="L88" s="4104" t="s">
        <v>445</v>
      </c>
      <c r="M88" s="4794"/>
      <c r="N88" s="4109"/>
      <c r="O88" s="1979"/>
      <c r="P88" s="1979"/>
    </row>
    <row r="89" spans="1:16" s="4110" customFormat="1" ht="18.75" customHeight="1">
      <c r="A89" s="2041"/>
      <c r="B89" s="2041"/>
      <c r="C89" s="4103" t="s">
        <v>1194</v>
      </c>
      <c r="D89" s="4905"/>
      <c r="E89" s="4906"/>
      <c r="F89" s="4906"/>
      <c r="G89" s="4876"/>
      <c r="H89" s="4146"/>
      <c r="I89" s="4147" t="s">
        <v>1195</v>
      </c>
      <c r="J89" s="4148"/>
      <c r="K89" s="4149"/>
      <c r="L89" s="4150"/>
      <c r="M89" s="4794"/>
      <c r="N89" s="4109"/>
      <c r="O89" s="1979"/>
      <c r="P89" s="1979"/>
    </row>
    <row r="90" spans="1:16" s="4110" customFormat="1" ht="18.75" customHeight="1">
      <c r="A90" s="2041" t="s">
        <v>312</v>
      </c>
      <c r="B90" s="2041" t="s">
        <v>359</v>
      </c>
      <c r="C90" s="4103"/>
      <c r="D90" s="4905"/>
      <c r="E90" s="4906"/>
      <c r="F90" s="4906"/>
      <c r="G90" s="4876" t="str">
        <f>INDEX(PT_DIFFERENTIATION_NTAR,MATCH(B90,PT_DIFFERENTIATION_NTAR_ID,0))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H90" s="4104"/>
      <c r="I90" s="4105"/>
      <c r="J90" s="4106"/>
      <c r="K90" s="4107"/>
      <c r="L90" s="4104" t="s">
        <v>445</v>
      </c>
      <c r="M90" s="4794"/>
      <c r="N90" s="4109"/>
      <c r="O90" s="1979"/>
      <c r="P90" s="1979"/>
    </row>
    <row r="91" spans="1:16" s="4110" customFormat="1" ht="18.75" customHeight="1">
      <c r="A91" s="2041"/>
      <c r="B91" s="2041"/>
      <c r="C91" s="4103" t="s">
        <v>1194</v>
      </c>
      <c r="D91" s="4905"/>
      <c r="E91" s="4906"/>
      <c r="F91" s="4906"/>
      <c r="G91" s="4876"/>
      <c r="H91" s="4151"/>
      <c r="I91" s="4152" t="s">
        <v>1195</v>
      </c>
      <c r="J91" s="4153"/>
      <c r="K91" s="4154"/>
      <c r="L91" s="4155"/>
      <c r="M91" s="4794"/>
      <c r="N91" s="4109"/>
      <c r="O91" s="1979"/>
      <c r="P91" s="1979"/>
    </row>
    <row r="92" spans="1:16" s="4110" customFormat="1" ht="18.75" customHeight="1">
      <c r="A92" s="2041" t="s">
        <v>312</v>
      </c>
      <c r="B92" s="2041" t="s">
        <v>364</v>
      </c>
      <c r="C92" s="4103"/>
      <c r="D92" s="4905"/>
      <c r="E92" s="4906"/>
      <c r="F92" s="4906"/>
      <c r="G92" s="4876" t="str">
        <f>INDEX(PT_DIFFERENTIATION_NTAR,MATCH(B92,PT_DIFFERENTIATION_NTAR_ID,0))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H92" s="4104"/>
      <c r="I92" s="4105"/>
      <c r="J92" s="4106"/>
      <c r="K92" s="4107"/>
      <c r="L92" s="4104" t="s">
        <v>445</v>
      </c>
      <c r="M92" s="4794"/>
      <c r="N92" s="4109"/>
      <c r="O92" s="1979"/>
      <c r="P92" s="1979"/>
    </row>
    <row r="93" spans="1:16" s="4110" customFormat="1" ht="18.75" customHeight="1">
      <c r="A93" s="2041"/>
      <c r="B93" s="2041"/>
      <c r="C93" s="4103" t="s">
        <v>1194</v>
      </c>
      <c r="D93" s="4905"/>
      <c r="E93" s="4906"/>
      <c r="F93" s="4906"/>
      <c r="G93" s="4876"/>
      <c r="H93" s="4156"/>
      <c r="I93" s="4157" t="s">
        <v>1195</v>
      </c>
      <c r="J93" s="4158"/>
      <c r="K93" s="4159"/>
      <c r="L93" s="4160"/>
      <c r="M93" s="4794"/>
      <c r="N93" s="4109"/>
      <c r="O93" s="1979"/>
      <c r="P93" s="1979"/>
    </row>
    <row r="94" spans="1:16" s="4110" customFormat="1" ht="18.75" customHeight="1">
      <c r="A94" s="2041" t="s">
        <v>312</v>
      </c>
      <c r="B94" s="2041" t="s">
        <v>369</v>
      </c>
      <c r="C94" s="4103"/>
      <c r="D94" s="4905"/>
      <c r="E94" s="4906"/>
      <c r="F94" s="4906"/>
      <c r="G94" s="4876" t="str">
        <f>INDEX(PT_DIFFERENTIATION_NTAR,MATCH(B94,PT_DIFFERENTIATION_NTAR_ID,0))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H94" s="4104"/>
      <c r="I94" s="4105"/>
      <c r="J94" s="4106"/>
      <c r="K94" s="4107"/>
      <c r="L94" s="4104" t="s">
        <v>445</v>
      </c>
      <c r="M94" s="4794"/>
      <c r="N94" s="4109"/>
      <c r="O94" s="1979"/>
      <c r="P94" s="1979"/>
    </row>
    <row r="95" spans="1:16" s="4110" customFormat="1" ht="18.75" customHeight="1">
      <c r="A95" s="2041"/>
      <c r="B95" s="2041"/>
      <c r="C95" s="4103" t="s">
        <v>1194</v>
      </c>
      <c r="D95" s="4905"/>
      <c r="E95" s="4906"/>
      <c r="F95" s="4906"/>
      <c r="G95" s="4876"/>
      <c r="H95" s="4161"/>
      <c r="I95" s="4162" t="s">
        <v>1195</v>
      </c>
      <c r="J95" s="4163"/>
      <c r="K95" s="4164"/>
      <c r="L95" s="4165"/>
      <c r="M95" s="4794"/>
      <c r="N95" s="4109"/>
      <c r="O95" s="1979"/>
      <c r="P95" s="1979"/>
    </row>
    <row r="96" spans="1:16" s="4110" customFormat="1" ht="18.75" customHeight="1">
      <c r="A96" s="2041" t="s">
        <v>312</v>
      </c>
      <c r="B96" s="2041" t="s">
        <v>374</v>
      </c>
      <c r="C96" s="4103"/>
      <c r="D96" s="4905"/>
      <c r="E96" s="4906"/>
      <c r="F96" s="4906"/>
      <c r="G96" s="4876" t="str">
        <f>INDEX(PT_DIFFERENTIATION_NTAR,MATCH(B96,PT_DIFFERENTIATION_NTAR_ID,0))</f>
        <v>С использованием централизованной системы водоотведения на территории села Криуши МО "Город Новоульяновск" Ульяновской области</v>
      </c>
      <c r="H96" s="4104"/>
      <c r="I96" s="4105"/>
      <c r="J96" s="4106"/>
      <c r="K96" s="4107"/>
      <c r="L96" s="4104" t="s">
        <v>445</v>
      </c>
      <c r="M96" s="4794"/>
      <c r="N96" s="4109"/>
      <c r="O96" s="1979"/>
      <c r="P96" s="1979"/>
    </row>
    <row r="97" spans="1:16" s="4110" customFormat="1" ht="18.75" customHeight="1">
      <c r="A97" s="2041"/>
      <c r="B97" s="2041"/>
      <c r="C97" s="4103" t="s">
        <v>1194</v>
      </c>
      <c r="D97" s="4905"/>
      <c r="E97" s="4906"/>
      <c r="F97" s="4906"/>
      <c r="G97" s="4876"/>
      <c r="H97" s="4166"/>
      <c r="I97" s="4167" t="s">
        <v>1195</v>
      </c>
      <c r="J97" s="4168"/>
      <c r="K97" s="4169"/>
      <c r="L97" s="4170"/>
      <c r="M97" s="4794"/>
      <c r="N97" s="4109"/>
      <c r="O97" s="1979"/>
      <c r="P97" s="1979"/>
    </row>
    <row r="98" spans="1:16" s="4110" customFormat="1" ht="18.75" customHeight="1">
      <c r="A98" s="2041" t="s">
        <v>312</v>
      </c>
      <c r="B98" s="2041" t="s">
        <v>379</v>
      </c>
      <c r="C98" s="4103"/>
      <c r="D98" s="4905"/>
      <c r="E98" s="4906"/>
      <c r="F98" s="4906"/>
      <c r="G98" s="4876" t="str">
        <f>INDEX(PT_DIFFERENTIATION_NTAR,MATCH(B98,PT_DIFFERENTIATION_NTAR_ID,0))</f>
        <v>С использованием централизованной системы водоотведения на территории посёлка Липки МО "Город Новоульяновск Ульяновской области</v>
      </c>
      <c r="H98" s="4104"/>
      <c r="I98" s="4105"/>
      <c r="J98" s="4106"/>
      <c r="K98" s="4107"/>
      <c r="L98" s="4104" t="s">
        <v>445</v>
      </c>
      <c r="M98" s="4794"/>
      <c r="N98" s="4109"/>
      <c r="O98" s="1979"/>
      <c r="P98" s="1979"/>
    </row>
    <row r="99" spans="1:16" s="4110" customFormat="1" ht="18.75" customHeight="1">
      <c r="A99" s="2041"/>
      <c r="B99" s="2041"/>
      <c r="C99" s="4103" t="s">
        <v>1194</v>
      </c>
      <c r="D99" s="4905"/>
      <c r="E99" s="4906"/>
      <c r="F99" s="4906"/>
      <c r="G99" s="4876"/>
      <c r="H99" s="4171"/>
      <c r="I99" s="4172" t="s">
        <v>1195</v>
      </c>
      <c r="J99" s="4173"/>
      <c r="K99" s="4174"/>
      <c r="L99" s="4175"/>
      <c r="M99" s="4794"/>
      <c r="N99" s="4109"/>
      <c r="O99" s="1979"/>
      <c r="P99" s="1979"/>
    </row>
    <row r="100" spans="1:16" s="4110" customFormat="1" ht="18.75" customHeight="1">
      <c r="A100" s="2041" t="s">
        <v>312</v>
      </c>
      <c r="B100" s="2041" t="s">
        <v>385</v>
      </c>
      <c r="C100" s="4103"/>
      <c r="D100" s="4905"/>
      <c r="E100" s="4906"/>
      <c r="F100" s="4906"/>
      <c r="G100" s="4876" t="str">
        <f>INDEX(PT_DIFFERENTIATION_NTAR,MATCH(B100,PT_DIFFERENTIATION_NTAR_ID,0))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H100" s="4104"/>
      <c r="I100" s="4105"/>
      <c r="J100" s="4106"/>
      <c r="K100" s="4107"/>
      <c r="L100" s="4104" t="s">
        <v>445</v>
      </c>
      <c r="M100" s="4794"/>
      <c r="N100" s="4109"/>
      <c r="O100" s="1979"/>
      <c r="P100" s="1979"/>
    </row>
    <row r="101" spans="1:16" s="4110" customFormat="1" ht="18.75" customHeight="1">
      <c r="A101" s="2041"/>
      <c r="B101" s="2041"/>
      <c r="C101" s="4103" t="s">
        <v>1194</v>
      </c>
      <c r="D101" s="4905"/>
      <c r="E101" s="4906"/>
      <c r="F101" s="4906"/>
      <c r="G101" s="4876"/>
      <c r="H101" s="4176"/>
      <c r="I101" s="4177" t="s">
        <v>1195</v>
      </c>
      <c r="J101" s="4178"/>
      <c r="K101" s="4179"/>
      <c r="L101" s="4180"/>
      <c r="M101" s="4794"/>
      <c r="N101" s="4109"/>
      <c r="O101" s="1979"/>
      <c r="P101" s="1979"/>
    </row>
    <row r="102" spans="1:16" s="4110" customFormat="1" ht="18.75" customHeight="1">
      <c r="A102" s="2041" t="s">
        <v>312</v>
      </c>
      <c r="B102" s="2041" t="s">
        <v>391</v>
      </c>
      <c r="C102" s="4103"/>
      <c r="D102" s="4905"/>
      <c r="E102" s="4906"/>
      <c r="F102" s="4906"/>
      <c r="G102" s="4876" t="str">
        <f>INDEX(PT_DIFFERENTIATION_NTAR,MATCH(B102,PT_DIFFERENTIATION_NTAR_ID,0))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H102" s="4104"/>
      <c r="I102" s="4105"/>
      <c r="J102" s="4106"/>
      <c r="K102" s="4107"/>
      <c r="L102" s="4104" t="s">
        <v>445</v>
      </c>
      <c r="M102" s="4794"/>
      <c r="N102" s="4109"/>
      <c r="O102" s="1979"/>
      <c r="P102" s="1979"/>
    </row>
    <row r="103" spans="1:16" s="4110" customFormat="1" ht="18.75" customHeight="1">
      <c r="A103" s="2041"/>
      <c r="B103" s="2041"/>
      <c r="C103" s="4103" t="s">
        <v>1194</v>
      </c>
      <c r="D103" s="4905"/>
      <c r="E103" s="4906"/>
      <c r="F103" s="4906"/>
      <c r="G103" s="4876"/>
      <c r="H103" s="4181"/>
      <c r="I103" s="4182" t="s">
        <v>1195</v>
      </c>
      <c r="J103" s="4183"/>
      <c r="K103" s="4184"/>
      <c r="L103" s="4185"/>
      <c r="M103" s="4794"/>
      <c r="N103" s="4109"/>
      <c r="O103" s="1979"/>
      <c r="P103" s="1979"/>
    </row>
    <row r="104" spans="1:16" s="4110" customFormat="1" ht="18.75" customHeight="1">
      <c r="A104" s="2041" t="s">
        <v>312</v>
      </c>
      <c r="B104" s="2041" t="s">
        <v>397</v>
      </c>
      <c r="C104" s="4103"/>
      <c r="D104" s="4905"/>
      <c r="E104" s="4906"/>
      <c r="F104" s="4906"/>
      <c r="G104" s="4876" t="str">
        <f>INDEX(PT_DIFFERENTIATION_NTAR,MATCH(B104,PT_DIFFERENTIATION_NTAR_ID,0))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H104" s="4104"/>
      <c r="I104" s="4105"/>
      <c r="J104" s="4106"/>
      <c r="K104" s="4107"/>
      <c r="L104" s="4104" t="s">
        <v>445</v>
      </c>
      <c r="M104" s="4794"/>
      <c r="N104" s="4109"/>
      <c r="O104" s="1979"/>
      <c r="P104" s="1979"/>
    </row>
    <row r="105" spans="1:16" s="4110" customFormat="1" ht="18.75" customHeight="1">
      <c r="A105" s="2041"/>
      <c r="B105" s="2041"/>
      <c r="C105" s="4103" t="s">
        <v>1194</v>
      </c>
      <c r="D105" s="4905"/>
      <c r="E105" s="4906"/>
      <c r="F105" s="4906"/>
      <c r="G105" s="4876"/>
      <c r="H105" s="4186"/>
      <c r="I105" s="4187" t="s">
        <v>1195</v>
      </c>
      <c r="J105" s="4188"/>
      <c r="K105" s="4189"/>
      <c r="L105" s="4190"/>
      <c r="M105" s="4794"/>
      <c r="N105" s="4109"/>
      <c r="O105" s="1979"/>
      <c r="P105" s="1979"/>
    </row>
    <row r="106" spans="1:16" s="4110" customFormat="1" ht="18.75" customHeight="1">
      <c r="A106" s="2041" t="s">
        <v>312</v>
      </c>
      <c r="B106" s="2041" t="s">
        <v>403</v>
      </c>
      <c r="C106" s="4103"/>
      <c r="D106" s="4905"/>
      <c r="E106" s="4906"/>
      <c r="F106" s="4906"/>
      <c r="G106" s="4876" t="str">
        <f>INDEX(PT_DIFFERENTIATION_NTAR,MATCH(B106,PT_DIFFERENTIATION_NTAR_ID,0))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H106" s="4104"/>
      <c r="I106" s="4105"/>
      <c r="J106" s="4106"/>
      <c r="K106" s="4107"/>
      <c r="L106" s="4104" t="s">
        <v>445</v>
      </c>
      <c r="M106" s="4794"/>
      <c r="N106" s="4109"/>
      <c r="O106" s="1979"/>
      <c r="P106" s="1979"/>
    </row>
    <row r="107" spans="1:16" s="4110" customFormat="1" ht="18.75" customHeight="1">
      <c r="A107" s="2041"/>
      <c r="B107" s="2041"/>
      <c r="C107" s="4103" t="s">
        <v>1194</v>
      </c>
      <c r="D107" s="4905"/>
      <c r="E107" s="4906"/>
      <c r="F107" s="4906"/>
      <c r="G107" s="4876"/>
      <c r="H107" s="4191"/>
      <c r="I107" s="4192" t="s">
        <v>1195</v>
      </c>
      <c r="J107" s="4193"/>
      <c r="K107" s="4194"/>
      <c r="L107" s="4195"/>
      <c r="M107" s="4794"/>
      <c r="N107" s="4109"/>
      <c r="O107" s="1979"/>
      <c r="P107" s="1979"/>
    </row>
    <row r="108" spans="1:16" s="1924" customFormat="1" ht="0.75" hidden="1" customHeight="1">
      <c r="A108" s="1692"/>
      <c r="B108" s="1692"/>
      <c r="C108" s="298" t="s">
        <v>1200</v>
      </c>
      <c r="D108" s="4904"/>
      <c r="E108" s="4713"/>
      <c r="F108" s="4848"/>
      <c r="G108" s="335"/>
      <c r="H108" s="1411"/>
      <c r="I108" s="573"/>
      <c r="J108" s="497"/>
      <c r="K108" s="1411"/>
      <c r="L108" s="135"/>
      <c r="M108" s="4668"/>
      <c r="N108" s="261"/>
      <c r="O108" s="1537"/>
      <c r="P108" s="1537"/>
    </row>
    <row r="109" spans="1:16" s="1924" customFormat="1" ht="18.75" hidden="1" customHeight="1">
      <c r="A109" s="1692" t="s">
        <v>409</v>
      </c>
      <c r="B109" s="1692" t="s">
        <v>410</v>
      </c>
      <c r="C109" s="298"/>
      <c r="D109" s="4904"/>
      <c r="E109" s="4713"/>
      <c r="F109" s="4848" t="str">
        <f>INDEX(PT_DIFFERENTIATION_VTAR,MATCH(A109,PT_DIFFERENTIATION_VTAR_ID,0))</f>
        <v>Тариф на транспортировку сточных вод</v>
      </c>
      <c r="G109" s="4876" t="str">
        <f>INDEX(PT_DIFFERENTIATION_NTAR,MATCH(B109,PT_DIFFERENTIATION_NTAR_ID,0))</f>
        <v/>
      </c>
      <c r="H109" s="1774"/>
      <c r="I109" s="1650"/>
      <c r="J109" s="1685"/>
      <c r="K109" s="1777"/>
      <c r="L109" s="1774" t="s">
        <v>445</v>
      </c>
      <c r="M109" s="4668"/>
      <c r="N109" s="261"/>
      <c r="O109" s="1537"/>
      <c r="P109" s="1537"/>
    </row>
    <row r="110" spans="1:16" s="1924" customFormat="1" ht="18.75" hidden="1" customHeight="1">
      <c r="A110" s="1692"/>
      <c r="B110" s="1692"/>
      <c r="C110" s="298" t="s">
        <v>1194</v>
      </c>
      <c r="D110" s="4904"/>
      <c r="E110" s="4713"/>
      <c r="F110" s="4848"/>
      <c r="G110" s="4876"/>
      <c r="H110" s="1411"/>
      <c r="I110" s="573" t="s">
        <v>1195</v>
      </c>
      <c r="J110" s="497"/>
      <c r="K110" s="1411"/>
      <c r="L110" s="135"/>
      <c r="M110" s="4668"/>
      <c r="N110" s="261"/>
      <c r="O110" s="1537"/>
      <c r="P110" s="1537"/>
    </row>
    <row r="111" spans="1:16" s="1924" customFormat="1" ht="0.75" hidden="1" customHeight="1">
      <c r="A111" s="1692"/>
      <c r="B111" s="1692"/>
      <c r="C111" s="298" t="s">
        <v>1200</v>
      </c>
      <c r="D111" s="4904"/>
      <c r="E111" s="4713"/>
      <c r="F111" s="4848"/>
      <c r="G111" s="335"/>
      <c r="H111" s="1411"/>
      <c r="I111" s="573"/>
      <c r="J111" s="497"/>
      <c r="K111" s="1411"/>
      <c r="L111" s="135"/>
      <c r="M111" s="4668"/>
      <c r="N111" s="261"/>
      <c r="O111" s="1537"/>
      <c r="P111" s="1537"/>
    </row>
    <row r="112" spans="1:16" s="1924" customFormat="1" ht="18.75" hidden="1" customHeight="1">
      <c r="A112" s="1692" t="s">
        <v>414</v>
      </c>
      <c r="B112" s="1692" t="s">
        <v>415</v>
      </c>
      <c r="C112" s="298"/>
      <c r="D112" s="4904"/>
      <c r="E112" s="4713"/>
      <c r="F112" s="4848" t="str">
        <f>INDEX(PT_DIFFERENTIATION_VTAR,MATCH(A112,PT_DIFFERENTIATION_VTAR_ID,0))</f>
        <v>Тариф на подключение (технологическое присоединение) к централизованной системе водоотведения</v>
      </c>
      <c r="G112" s="4876" t="str">
        <f>INDEX(PT_DIFFERENTIATION_NTAR,MATCH(B112,PT_DIFFERENTIATION_NTAR_ID,0))</f>
        <v/>
      </c>
      <c r="H112" s="1774"/>
      <c r="I112" s="1650"/>
      <c r="J112" s="1685"/>
      <c r="K112" s="1777"/>
      <c r="L112" s="1774" t="s">
        <v>445</v>
      </c>
      <c r="M112" s="4668"/>
      <c r="N112" s="261"/>
      <c r="O112" s="1537"/>
      <c r="P112" s="1537"/>
    </row>
    <row r="113" spans="1:16" s="1924" customFormat="1" ht="18.75" hidden="1" customHeight="1">
      <c r="A113" s="1692"/>
      <c r="B113" s="1692"/>
      <c r="C113" s="298" t="s">
        <v>1194</v>
      </c>
      <c r="D113" s="4904"/>
      <c r="E113" s="4713"/>
      <c r="F113" s="4848"/>
      <c r="G113" s="4876"/>
      <c r="H113" s="1411"/>
      <c r="I113" s="573" t="s">
        <v>1195</v>
      </c>
      <c r="J113" s="497"/>
      <c r="K113" s="1411"/>
      <c r="L113" s="135"/>
      <c r="M113" s="4668"/>
      <c r="N113" s="261"/>
      <c r="O113" s="1537"/>
      <c r="P113" s="1537"/>
    </row>
    <row r="114" spans="1:16" s="1924" customFormat="1" ht="0.75" customHeight="1">
      <c r="A114" s="1692"/>
      <c r="B114" s="1692"/>
      <c r="C114" s="298" t="s">
        <v>1200</v>
      </c>
      <c r="D114" s="4904"/>
      <c r="E114" s="4713"/>
      <c r="F114" s="4848"/>
      <c r="G114" s="335"/>
      <c r="H114" s="1411"/>
      <c r="I114" s="573"/>
      <c r="J114" s="497"/>
      <c r="K114" s="1411"/>
      <c r="L114" s="135"/>
      <c r="M114" s="4668"/>
      <c r="N114" s="261"/>
      <c r="O114" s="1537"/>
      <c r="P114" s="1537"/>
    </row>
    <row r="115" spans="1:16" ht="18.75" customHeight="1">
      <c r="A115" s="1692"/>
      <c r="B115" s="1692"/>
      <c r="D115" s="306"/>
      <c r="E115" s="71" t="s">
        <v>101</v>
      </c>
      <c r="F115" s="49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115" s="4903"/>
      <c r="H115" s="4903"/>
      <c r="I115" s="4903"/>
      <c r="J115" s="4903"/>
      <c r="K115" s="4903"/>
      <c r="L115" s="4903"/>
      <c r="M115" s="216"/>
      <c r="N115" s="261"/>
    </row>
    <row r="116" spans="1:16" ht="33.75" customHeight="1">
      <c r="A116" s="1692"/>
      <c r="B116" s="1692"/>
      <c r="D116" s="306"/>
      <c r="E116" s="334"/>
      <c r="F116" s="119" t="s">
        <v>445</v>
      </c>
      <c r="G116" s="119" t="s">
        <v>445</v>
      </c>
      <c r="H116" s="4727" t="s">
        <v>445</v>
      </c>
      <c r="I116" s="4729"/>
      <c r="J116" s="119" t="s">
        <v>445</v>
      </c>
      <c r="K116" s="119" t="s">
        <v>445</v>
      </c>
      <c r="L116" s="336"/>
      <c r="M116" s="271" t="s">
        <v>1201</v>
      </c>
      <c r="N116" s="261"/>
    </row>
    <row r="117" spans="1:16" ht="18.75" customHeight="1">
      <c r="A117" s="1692"/>
      <c r="B117" s="1692"/>
      <c r="D117" s="306"/>
      <c r="E117" s="71" t="s">
        <v>88</v>
      </c>
      <c r="F117" s="4903" t="s">
        <v>1202</v>
      </c>
      <c r="G117" s="4903"/>
      <c r="H117" s="4903"/>
      <c r="I117" s="4903"/>
      <c r="J117" s="4903"/>
      <c r="K117" s="4903"/>
      <c r="L117" s="4903"/>
      <c r="M117" s="216"/>
      <c r="N117" s="261"/>
    </row>
    <row r="118" spans="1:16" s="1924" customFormat="1" ht="60.75" hidden="1" customHeight="1">
      <c r="A118" s="1692" t="s">
        <v>214</v>
      </c>
      <c r="B118" s="1692" t="s">
        <v>215</v>
      </c>
      <c r="C118" s="298"/>
      <c r="D118" s="4904"/>
      <c r="E118" s="4713"/>
      <c r="F118" s="4848" t="str">
        <f>INDEX(PT_DIFFERENTIATION_VTAR,MATCH(A118,PT_DIFFERENTIATION_VTAR_ID,0))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18" s="4876" t="str">
        <f>INDEX(PT_DIFFERENTIATION_NTAR,MATCH(B118,PT_DIFFERENTIATION_NTAR_ID,0))</f>
        <v/>
      </c>
      <c r="H118" s="1774"/>
      <c r="I118" s="1650"/>
      <c r="J118" s="1685"/>
      <c r="K118" s="1690"/>
      <c r="L118" s="1774" t="s">
        <v>445</v>
      </c>
      <c r="M118" s="46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18" s="261"/>
      <c r="O118" s="1537"/>
      <c r="P118" s="1537"/>
    </row>
    <row r="119" spans="1:16" s="1924" customFormat="1" ht="18.75" hidden="1" customHeight="1">
      <c r="A119" s="1692"/>
      <c r="B119" s="1692"/>
      <c r="C119" s="298" t="s">
        <v>1196</v>
      </c>
      <c r="D119" s="4904"/>
      <c r="E119" s="4713"/>
      <c r="F119" s="4848"/>
      <c r="G119" s="4876"/>
      <c r="H119" s="1411"/>
      <c r="I119" s="573" t="s">
        <v>1195</v>
      </c>
      <c r="J119" s="497"/>
      <c r="K119" s="1411"/>
      <c r="L119" s="135"/>
      <c r="M119" s="4668"/>
      <c r="N119" s="261"/>
      <c r="O119" s="1537"/>
      <c r="P119" s="1537"/>
    </row>
    <row r="120" spans="1:16" s="1924" customFormat="1" ht="0.75" hidden="1" customHeight="1">
      <c r="A120" s="1692"/>
      <c r="B120" s="1692"/>
      <c r="C120" s="298" t="s">
        <v>1203</v>
      </c>
      <c r="D120" s="4904"/>
      <c r="E120" s="4713"/>
      <c r="F120" s="4848"/>
      <c r="G120" s="335"/>
      <c r="H120" s="1411"/>
      <c r="I120" s="573"/>
      <c r="J120" s="497"/>
      <c r="K120" s="1411"/>
      <c r="L120" s="135"/>
      <c r="M120" s="4668"/>
      <c r="N120" s="261"/>
      <c r="O120" s="1537"/>
      <c r="P120" s="1537"/>
    </row>
    <row r="121" spans="1:16" s="1924" customFormat="1" ht="45" hidden="1" customHeight="1">
      <c r="A121" s="1692" t="s">
        <v>220</v>
      </c>
      <c r="B121" s="1692" t="s">
        <v>221</v>
      </c>
      <c r="C121" s="298"/>
      <c r="D121" s="4904"/>
      <c r="E121" s="4713"/>
      <c r="F121" s="4848" t="str">
        <f>INDEX(PT_DIFFERENTIATION_VTAR,MATCH(A121,PT_DIFFERENTIATION_VTAR_ID,0))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21" s="4876" t="str">
        <f>INDEX(PT_DIFFERENTIATION_NTAR,MATCH(B121,PT_DIFFERENTIATION_NTAR_ID,0))</f>
        <v/>
      </c>
      <c r="H121" s="1774"/>
      <c r="I121" s="1650"/>
      <c r="J121" s="1685"/>
      <c r="K121" s="1690"/>
      <c r="L121" s="1774" t="s">
        <v>445</v>
      </c>
      <c r="M121" s="4669"/>
      <c r="N121" s="261"/>
      <c r="O121" s="1537"/>
      <c r="P121" s="1537"/>
    </row>
    <row r="122" spans="1:16" s="1924" customFormat="1" ht="18.75" hidden="1" customHeight="1">
      <c r="A122" s="1692"/>
      <c r="B122" s="1692"/>
      <c r="C122" s="298" t="s">
        <v>1196</v>
      </c>
      <c r="D122" s="4904"/>
      <c r="E122" s="4713"/>
      <c r="F122" s="4848"/>
      <c r="G122" s="4876"/>
      <c r="H122" s="1411"/>
      <c r="I122" s="573" t="s">
        <v>1195</v>
      </c>
      <c r="J122" s="497"/>
      <c r="K122" s="1411"/>
      <c r="L122" s="135"/>
      <c r="M122" s="1773"/>
      <c r="N122" s="261"/>
      <c r="O122" s="1537"/>
      <c r="P122" s="1537"/>
    </row>
    <row r="123" spans="1:16" s="1924" customFormat="1" ht="0.75" hidden="1" customHeight="1">
      <c r="A123" s="1692"/>
      <c r="B123" s="1692"/>
      <c r="C123" s="298" t="s">
        <v>1203</v>
      </c>
      <c r="D123" s="4904"/>
      <c r="E123" s="4713"/>
      <c r="F123" s="4848"/>
      <c r="G123" s="335"/>
      <c r="H123" s="1411"/>
      <c r="I123" s="573"/>
      <c r="J123" s="497"/>
      <c r="K123" s="1411"/>
      <c r="L123" s="135"/>
      <c r="M123" s="268"/>
      <c r="N123" s="261"/>
      <c r="O123" s="1537"/>
      <c r="P123" s="1537"/>
    </row>
    <row r="124" spans="1:16" s="1924" customFormat="1" ht="45" hidden="1" customHeight="1">
      <c r="A124" s="1692" t="s">
        <v>226</v>
      </c>
      <c r="B124" s="1692" t="s">
        <v>227</v>
      </c>
      <c r="C124" s="298"/>
      <c r="D124" s="4904"/>
      <c r="E124" s="4713"/>
      <c r="F124" s="4848" t="str">
        <f>INDEX(PT_DIFFERENTIATION_VTAR,MATCH(A124,PT_DIFFERENTIATION_VTAR_ID,0))</f>
        <v>Тарифы на теплоноситель, поставляемый теплоснабжающими организациями потребителям, другим теплоснабжающим организациям</v>
      </c>
      <c r="G124" s="4876" t="str">
        <f>INDEX(PT_DIFFERENTIATION_NTAR,MATCH(B124,PT_DIFFERENTIATION_NTAR_ID,0))</f>
        <v/>
      </c>
      <c r="H124" s="1774"/>
      <c r="I124" s="1650"/>
      <c r="J124" s="1685"/>
      <c r="K124" s="1690"/>
      <c r="L124" s="1774" t="s">
        <v>445</v>
      </c>
      <c r="M124" s="268"/>
      <c r="N124" s="261"/>
      <c r="O124" s="1537"/>
      <c r="P124" s="1537"/>
    </row>
    <row r="125" spans="1:16" s="1924" customFormat="1" ht="18.75" hidden="1" customHeight="1">
      <c r="A125" s="1692"/>
      <c r="B125" s="1692"/>
      <c r="C125" s="298" t="s">
        <v>1196</v>
      </c>
      <c r="D125" s="4904"/>
      <c r="E125" s="4713"/>
      <c r="F125" s="4848"/>
      <c r="G125" s="4876"/>
      <c r="H125" s="1411"/>
      <c r="I125" s="573" t="s">
        <v>1195</v>
      </c>
      <c r="J125" s="497"/>
      <c r="K125" s="1411"/>
      <c r="L125" s="135"/>
      <c r="M125" s="268"/>
      <c r="N125" s="261"/>
      <c r="O125" s="1537"/>
      <c r="P125" s="1537"/>
    </row>
    <row r="126" spans="1:16" s="1924" customFormat="1" ht="0.75" hidden="1" customHeight="1">
      <c r="A126" s="1692"/>
      <c r="B126" s="1692"/>
      <c r="C126" s="298" t="s">
        <v>1203</v>
      </c>
      <c r="D126" s="4904"/>
      <c r="E126" s="4713"/>
      <c r="F126" s="4848"/>
      <c r="G126" s="335"/>
      <c r="H126" s="1411"/>
      <c r="I126" s="573"/>
      <c r="J126" s="497"/>
      <c r="K126" s="1411"/>
      <c r="L126" s="135"/>
      <c r="M126" s="268"/>
      <c r="N126" s="261"/>
      <c r="O126" s="1537"/>
      <c r="P126" s="1537"/>
    </row>
    <row r="127" spans="1:16" s="1924" customFormat="1" ht="45" hidden="1" customHeight="1">
      <c r="A127" s="1692" t="s">
        <v>232</v>
      </c>
      <c r="B127" s="1692" t="s">
        <v>233</v>
      </c>
      <c r="C127" s="298"/>
      <c r="D127" s="4904"/>
      <c r="E127" s="4713"/>
      <c r="F127" s="4848" t="str">
        <f>INDEX(PT_DIFFERENTIATION_VTAR,MATCH(A127,PT_DIFFERENTIATION_VTAR_ID,0))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7" s="4876" t="str">
        <f>INDEX(PT_DIFFERENTIATION_NTAR,MATCH(B127,PT_DIFFERENTIATION_NTAR_ID,0))</f>
        <v/>
      </c>
      <c r="H127" s="1774"/>
      <c r="I127" s="1650"/>
      <c r="J127" s="1685"/>
      <c r="K127" s="1690"/>
      <c r="L127" s="1774" t="s">
        <v>445</v>
      </c>
      <c r="M127" s="268"/>
      <c r="N127" s="261"/>
      <c r="O127" s="1537"/>
      <c r="P127" s="1537"/>
    </row>
    <row r="128" spans="1:16" s="1924" customFormat="1" ht="18.75" hidden="1" customHeight="1">
      <c r="A128" s="1692"/>
      <c r="B128" s="1692"/>
      <c r="C128" s="298" t="s">
        <v>1196</v>
      </c>
      <c r="D128" s="4904"/>
      <c r="E128" s="4713"/>
      <c r="F128" s="4848"/>
      <c r="G128" s="4876"/>
      <c r="H128" s="1411"/>
      <c r="I128" s="573" t="s">
        <v>1195</v>
      </c>
      <c r="J128" s="497"/>
      <c r="K128" s="1411"/>
      <c r="L128" s="135"/>
      <c r="M128" s="268"/>
      <c r="N128" s="261"/>
      <c r="O128" s="1537"/>
      <c r="P128" s="1537"/>
    </row>
    <row r="129" spans="1:16" s="1924" customFormat="1" ht="0.75" hidden="1" customHeight="1">
      <c r="A129" s="1692"/>
      <c r="B129" s="1692"/>
      <c r="C129" s="298" t="s">
        <v>1203</v>
      </c>
      <c r="D129" s="4904"/>
      <c r="E129" s="4713"/>
      <c r="F129" s="4848"/>
      <c r="G129" s="335"/>
      <c r="H129" s="1411"/>
      <c r="I129" s="573"/>
      <c r="J129" s="497"/>
      <c r="K129" s="1411"/>
      <c r="L129" s="135"/>
      <c r="M129" s="268"/>
      <c r="N129" s="261"/>
      <c r="O129" s="1537"/>
      <c r="P129" s="1537"/>
    </row>
    <row r="130" spans="1:16" s="1924" customFormat="1" ht="18.75" hidden="1" customHeight="1">
      <c r="A130" s="1692" t="s">
        <v>238</v>
      </c>
      <c r="B130" s="1692" t="s">
        <v>239</v>
      </c>
      <c r="C130" s="298"/>
      <c r="D130" s="4904"/>
      <c r="E130" s="4713"/>
      <c r="F130" s="4848" t="str">
        <f>INDEX(PT_DIFFERENTIATION_VTAR,MATCH(A130,PT_DIFFERENTIATION_VTAR_ID,0))</f>
        <v>Тарифы на услуги по передаче тепловой энергии</v>
      </c>
      <c r="G130" s="4876" t="str">
        <f>INDEX(PT_DIFFERENTIATION_NTAR,MATCH(B130,PT_DIFFERENTIATION_NTAR_ID,0))</f>
        <v/>
      </c>
      <c r="H130" s="1774"/>
      <c r="I130" s="1650"/>
      <c r="J130" s="1685"/>
      <c r="K130" s="1690"/>
      <c r="L130" s="1774" t="s">
        <v>445</v>
      </c>
      <c r="M130" s="268"/>
      <c r="N130" s="261"/>
      <c r="O130" s="1537"/>
      <c r="P130" s="1537"/>
    </row>
    <row r="131" spans="1:16" s="1924" customFormat="1" ht="18.75" hidden="1" customHeight="1">
      <c r="A131" s="1692"/>
      <c r="B131" s="1692"/>
      <c r="C131" s="298" t="s">
        <v>1196</v>
      </c>
      <c r="D131" s="4904"/>
      <c r="E131" s="4713"/>
      <c r="F131" s="4848"/>
      <c r="G131" s="4876"/>
      <c r="H131" s="1411"/>
      <c r="I131" s="573" t="s">
        <v>1195</v>
      </c>
      <c r="J131" s="497"/>
      <c r="K131" s="1411"/>
      <c r="L131" s="135"/>
      <c r="M131" s="268"/>
      <c r="N131" s="261"/>
      <c r="O131" s="1537"/>
      <c r="P131" s="1537"/>
    </row>
    <row r="132" spans="1:16" s="1924" customFormat="1" ht="0.75" hidden="1" customHeight="1">
      <c r="A132" s="1692"/>
      <c r="B132" s="1692"/>
      <c r="C132" s="298" t="s">
        <v>1203</v>
      </c>
      <c r="D132" s="4904"/>
      <c r="E132" s="4713"/>
      <c r="F132" s="4848"/>
      <c r="G132" s="335"/>
      <c r="H132" s="1411"/>
      <c r="I132" s="573"/>
      <c r="J132" s="497"/>
      <c r="K132" s="1411"/>
      <c r="L132" s="135"/>
      <c r="M132" s="268"/>
      <c r="N132" s="261"/>
      <c r="O132" s="1537"/>
      <c r="P132" s="1537"/>
    </row>
    <row r="133" spans="1:16" s="1924" customFormat="1" ht="18.75" hidden="1" customHeight="1">
      <c r="A133" s="1692" t="s">
        <v>244</v>
      </c>
      <c r="B133" s="1692" t="s">
        <v>245</v>
      </c>
      <c r="C133" s="298"/>
      <c r="D133" s="4904"/>
      <c r="E133" s="4713"/>
      <c r="F133" s="4848" t="str">
        <f>INDEX(PT_DIFFERENTIATION_VTAR,MATCH(A133,PT_DIFFERENTIATION_VTAR_ID,0))</f>
        <v>Тарифы на услуги по передаче теплоносителя</v>
      </c>
      <c r="G133" s="4876" t="str">
        <f>INDEX(PT_DIFFERENTIATION_NTAR,MATCH(B133,PT_DIFFERENTIATION_NTAR_ID,0))</f>
        <v/>
      </c>
      <c r="H133" s="1774"/>
      <c r="I133" s="1650"/>
      <c r="J133" s="1685"/>
      <c r="K133" s="1690"/>
      <c r="L133" s="1774" t="s">
        <v>445</v>
      </c>
      <c r="M133" s="268"/>
      <c r="N133" s="261"/>
      <c r="O133" s="1537"/>
      <c r="P133" s="1537"/>
    </row>
    <row r="134" spans="1:16" s="1924" customFormat="1" ht="18.75" hidden="1" customHeight="1">
      <c r="A134" s="1692"/>
      <c r="B134" s="1692"/>
      <c r="C134" s="298" t="s">
        <v>1196</v>
      </c>
      <c r="D134" s="4904"/>
      <c r="E134" s="4713"/>
      <c r="F134" s="4848"/>
      <c r="G134" s="4876"/>
      <c r="H134" s="1411"/>
      <c r="I134" s="573" t="s">
        <v>1195</v>
      </c>
      <c r="J134" s="497"/>
      <c r="K134" s="1411"/>
      <c r="L134" s="135"/>
      <c r="M134" s="268"/>
      <c r="N134" s="261"/>
      <c r="O134" s="1537"/>
      <c r="P134" s="1537"/>
    </row>
    <row r="135" spans="1:16" s="1924" customFormat="1" ht="0.75" hidden="1" customHeight="1">
      <c r="A135" s="1692"/>
      <c r="B135" s="1692"/>
      <c r="C135" s="298" t="s">
        <v>1203</v>
      </c>
      <c r="D135" s="4904"/>
      <c r="E135" s="4713"/>
      <c r="F135" s="4848"/>
      <c r="G135" s="335"/>
      <c r="H135" s="1411"/>
      <c r="I135" s="573"/>
      <c r="J135" s="497"/>
      <c r="K135" s="1411"/>
      <c r="L135" s="135"/>
      <c r="M135" s="268"/>
      <c r="N135" s="261"/>
      <c r="O135" s="1537"/>
      <c r="P135" s="1537"/>
    </row>
    <row r="136" spans="1:16" s="1924" customFormat="1" ht="18.75" hidden="1" customHeight="1">
      <c r="A136" s="1692" t="s">
        <v>250</v>
      </c>
      <c r="B136" s="1692" t="s">
        <v>251</v>
      </c>
      <c r="C136" s="298"/>
      <c r="D136" s="4904"/>
      <c r="E136" s="4713"/>
      <c r="F136" s="4848" t="str">
        <f>INDEX(PT_DIFFERENTIATION_VTAR,MATCH(A136,PT_DIFFERENTIATION_VTAR_ID,0))</f>
        <v>Плата за услуги по поддержанию резервной тепловой мощности при отсутствии потребления тепловой энергии</v>
      </c>
      <c r="G136" s="4876" t="str">
        <f>INDEX(PT_DIFFERENTIATION_NTAR,MATCH(B136,PT_DIFFERENTIATION_NTAR_ID,0))</f>
        <v/>
      </c>
      <c r="H136" s="1774"/>
      <c r="I136" s="1650"/>
      <c r="J136" s="1685"/>
      <c r="K136" s="1690"/>
      <c r="L136" s="1774" t="s">
        <v>445</v>
      </c>
      <c r="M136" s="268"/>
      <c r="N136" s="261"/>
      <c r="O136" s="1537"/>
      <c r="P136" s="1537"/>
    </row>
    <row r="137" spans="1:16" s="1924" customFormat="1" ht="18.75" hidden="1" customHeight="1">
      <c r="A137" s="1692"/>
      <c r="B137" s="1692"/>
      <c r="C137" s="298" t="s">
        <v>1196</v>
      </c>
      <c r="D137" s="4904"/>
      <c r="E137" s="4713"/>
      <c r="F137" s="4848"/>
      <c r="G137" s="4876"/>
      <c r="H137" s="1411"/>
      <c r="I137" s="573" t="s">
        <v>1195</v>
      </c>
      <c r="J137" s="497"/>
      <c r="K137" s="1411"/>
      <c r="L137" s="135"/>
      <c r="M137" s="268"/>
      <c r="N137" s="261"/>
      <c r="O137" s="1537"/>
      <c r="P137" s="1537"/>
    </row>
    <row r="138" spans="1:16" s="1924" customFormat="1" ht="0.75" hidden="1" customHeight="1">
      <c r="A138" s="1692"/>
      <c r="B138" s="1692"/>
      <c r="C138" s="298" t="s">
        <v>1203</v>
      </c>
      <c r="D138" s="4904"/>
      <c r="E138" s="4713"/>
      <c r="F138" s="4848"/>
      <c r="G138" s="335"/>
      <c r="H138" s="1411"/>
      <c r="I138" s="573"/>
      <c r="J138" s="497"/>
      <c r="K138" s="1411"/>
      <c r="L138" s="135"/>
      <c r="M138" s="268"/>
      <c r="N138" s="261"/>
      <c r="O138" s="1537"/>
      <c r="P138" s="1537"/>
    </row>
    <row r="139" spans="1:16" s="1924" customFormat="1" ht="18.75" hidden="1" customHeight="1">
      <c r="A139" s="1692" t="s">
        <v>256</v>
      </c>
      <c r="B139" s="1692" t="s">
        <v>257</v>
      </c>
      <c r="C139" s="298"/>
      <c r="D139" s="4904"/>
      <c r="E139" s="4713"/>
      <c r="F139" s="4848" t="str">
        <f>INDEX(PT_DIFFERENTIATION_VTAR,MATCH(A139,PT_DIFFERENTIATION_VTAR_ID,0))</f>
        <v>Плата за подключение (технологическое присоединение) к системе теплоснабжения</v>
      </c>
      <c r="G139" s="4876" t="str">
        <f>INDEX(PT_DIFFERENTIATION_NTAR,MATCH(B139,PT_DIFFERENTIATION_NTAR_ID,0))</f>
        <v/>
      </c>
      <c r="H139" s="1774"/>
      <c r="I139" s="1650"/>
      <c r="J139" s="1685"/>
      <c r="K139" s="1690"/>
      <c r="L139" s="1774" t="s">
        <v>445</v>
      </c>
      <c r="M139" s="268"/>
      <c r="N139" s="261"/>
      <c r="O139" s="1537"/>
      <c r="P139" s="1537"/>
    </row>
    <row r="140" spans="1:16" s="1924" customFormat="1" ht="18.75" hidden="1" customHeight="1">
      <c r="A140" s="1692"/>
      <c r="B140" s="1692"/>
      <c r="C140" s="298" t="s">
        <v>1196</v>
      </c>
      <c r="D140" s="4904"/>
      <c r="E140" s="4713"/>
      <c r="F140" s="4848"/>
      <c r="G140" s="4876"/>
      <c r="H140" s="1411"/>
      <c r="I140" s="573" t="s">
        <v>1195</v>
      </c>
      <c r="J140" s="497"/>
      <c r="K140" s="1411"/>
      <c r="L140" s="135"/>
      <c r="M140" s="268"/>
      <c r="N140" s="261"/>
      <c r="O140" s="1537"/>
      <c r="P140" s="1537"/>
    </row>
    <row r="141" spans="1:16" s="1924" customFormat="1" ht="0.75" hidden="1" customHeight="1">
      <c r="A141" s="1692"/>
      <c r="B141" s="1692"/>
      <c r="C141" s="298" t="s">
        <v>1203</v>
      </c>
      <c r="D141" s="4904"/>
      <c r="E141" s="4713"/>
      <c r="F141" s="4848"/>
      <c r="G141" s="335"/>
      <c r="H141" s="1411"/>
      <c r="I141" s="573"/>
      <c r="J141" s="497"/>
      <c r="K141" s="1411"/>
      <c r="L141" s="135"/>
      <c r="M141" s="268"/>
      <c r="N141" s="261"/>
      <c r="O141" s="1537"/>
      <c r="P141" s="1537"/>
    </row>
    <row r="142" spans="1:16" s="1924" customFormat="1" ht="18.75" hidden="1" customHeight="1">
      <c r="A142" s="1692" t="s">
        <v>270</v>
      </c>
      <c r="B142" s="1692" t="s">
        <v>271</v>
      </c>
      <c r="C142" s="298"/>
      <c r="D142" s="4904"/>
      <c r="E142" s="4713"/>
      <c r="F142" s="4848" t="str">
        <f>INDEX(PT_DIFFERENTIATION_VTAR,MATCH(A142,PT_DIFFERENTIATION_VTAR_ID,0))</f>
        <v>Тариф на питьевую воду (питьевое водоснабжение)</v>
      </c>
      <c r="G142" s="4876" t="str">
        <f>INDEX(PT_DIFFERENTIATION_NTAR,MATCH(B142,PT_DIFFERENTIATION_NTAR_ID,0))</f>
        <v/>
      </c>
      <c r="H142" s="1774"/>
      <c r="I142" s="1650"/>
      <c r="J142" s="1685"/>
      <c r="K142" s="1690"/>
      <c r="L142" s="1774" t="s">
        <v>445</v>
      </c>
      <c r="M142" s="268"/>
      <c r="N142" s="261"/>
      <c r="O142" s="1537"/>
      <c r="P142" s="1537"/>
    </row>
    <row r="143" spans="1:16" s="1924" customFormat="1" ht="18.75" hidden="1" customHeight="1">
      <c r="A143" s="1692"/>
      <c r="B143" s="1692"/>
      <c r="C143" s="298" t="s">
        <v>1196</v>
      </c>
      <c r="D143" s="4904"/>
      <c r="E143" s="4713"/>
      <c r="F143" s="4848"/>
      <c r="G143" s="4876"/>
      <c r="H143" s="1411"/>
      <c r="I143" s="573" t="s">
        <v>1195</v>
      </c>
      <c r="J143" s="497"/>
      <c r="K143" s="1411"/>
      <c r="L143" s="135"/>
      <c r="M143" s="268"/>
      <c r="N143" s="261"/>
      <c r="O143" s="1537"/>
      <c r="P143" s="1537"/>
    </row>
    <row r="144" spans="1:16" s="1924" customFormat="1" ht="0.75" hidden="1" customHeight="1">
      <c r="A144" s="1692"/>
      <c r="B144" s="1692"/>
      <c r="C144" s="298" t="s">
        <v>1203</v>
      </c>
      <c r="D144" s="4904"/>
      <c r="E144" s="4713"/>
      <c r="F144" s="4848"/>
      <c r="G144" s="335"/>
      <c r="H144" s="1411"/>
      <c r="I144" s="573"/>
      <c r="J144" s="497"/>
      <c r="K144" s="1411"/>
      <c r="L144" s="135"/>
      <c r="M144" s="268"/>
      <c r="N144" s="261"/>
      <c r="O144" s="1537"/>
      <c r="P144" s="1537"/>
    </row>
    <row r="145" spans="1:16" s="1924" customFormat="1" ht="18.75" hidden="1" customHeight="1">
      <c r="A145" s="1692" t="s">
        <v>275</v>
      </c>
      <c r="B145" s="1692" t="s">
        <v>276</v>
      </c>
      <c r="C145" s="298"/>
      <c r="D145" s="4904"/>
      <c r="E145" s="4713"/>
      <c r="F145" s="4848" t="str">
        <f>INDEX(PT_DIFFERENTIATION_VTAR,MATCH(A145,PT_DIFFERENTIATION_VTAR_ID,0))</f>
        <v>Тариф на техническую воду</v>
      </c>
      <c r="G145" s="4876" t="str">
        <f>INDEX(PT_DIFFERENTIATION_NTAR,MATCH(B145,PT_DIFFERENTIATION_NTAR_ID,0))</f>
        <v/>
      </c>
      <c r="H145" s="1774"/>
      <c r="I145" s="1650"/>
      <c r="J145" s="1685"/>
      <c r="K145" s="1690"/>
      <c r="L145" s="1774" t="s">
        <v>445</v>
      </c>
      <c r="M145" s="268"/>
      <c r="N145" s="261"/>
      <c r="O145" s="1537"/>
      <c r="P145" s="1537"/>
    </row>
    <row r="146" spans="1:16" s="1924" customFormat="1" ht="18.75" hidden="1" customHeight="1">
      <c r="A146" s="1692"/>
      <c r="B146" s="1692"/>
      <c r="C146" s="298" t="s">
        <v>1196</v>
      </c>
      <c r="D146" s="4904"/>
      <c r="E146" s="4713"/>
      <c r="F146" s="4848"/>
      <c r="G146" s="4876"/>
      <c r="H146" s="1411"/>
      <c r="I146" s="573" t="s">
        <v>1195</v>
      </c>
      <c r="J146" s="497"/>
      <c r="K146" s="1411"/>
      <c r="L146" s="135"/>
      <c r="M146" s="268"/>
      <c r="N146" s="261"/>
      <c r="O146" s="1537"/>
      <c r="P146" s="1537"/>
    </row>
    <row r="147" spans="1:16" s="1924" customFormat="1" ht="0.75" hidden="1" customHeight="1">
      <c r="A147" s="1692"/>
      <c r="B147" s="1692"/>
      <c r="C147" s="298" t="s">
        <v>1203</v>
      </c>
      <c r="D147" s="4904"/>
      <c r="E147" s="4713"/>
      <c r="F147" s="4848"/>
      <c r="G147" s="335"/>
      <c r="H147" s="1411"/>
      <c r="I147" s="573"/>
      <c r="J147" s="497"/>
      <c r="K147" s="1411"/>
      <c r="L147" s="135"/>
      <c r="M147" s="268"/>
      <c r="N147" s="261"/>
      <c r="O147" s="1537"/>
      <c r="P147" s="1537"/>
    </row>
    <row r="148" spans="1:16" s="1924" customFormat="1" ht="18.75" hidden="1" customHeight="1">
      <c r="A148" s="1692" t="s">
        <v>280</v>
      </c>
      <c r="B148" s="1692" t="s">
        <v>281</v>
      </c>
      <c r="C148" s="298"/>
      <c r="D148" s="4904"/>
      <c r="E148" s="4713"/>
      <c r="F148" s="4848" t="str">
        <f>INDEX(PT_DIFFERENTIATION_VTAR,MATCH(A148,PT_DIFFERENTIATION_VTAR_ID,0))</f>
        <v>Тариф на транспортировку воды</v>
      </c>
      <c r="G148" s="4876" t="str">
        <f>INDEX(PT_DIFFERENTIATION_NTAR,MATCH(B148,PT_DIFFERENTIATION_NTAR_ID,0))</f>
        <v/>
      </c>
      <c r="H148" s="1774"/>
      <c r="I148" s="1650"/>
      <c r="J148" s="1685"/>
      <c r="K148" s="1690"/>
      <c r="L148" s="1774" t="s">
        <v>445</v>
      </c>
      <c r="M148" s="268"/>
      <c r="N148" s="261"/>
      <c r="O148" s="1537"/>
      <c r="P148" s="1537"/>
    </row>
    <row r="149" spans="1:16" s="1924" customFormat="1" ht="18.75" hidden="1" customHeight="1">
      <c r="A149" s="1692"/>
      <c r="B149" s="1692"/>
      <c r="C149" s="298" t="s">
        <v>1196</v>
      </c>
      <c r="D149" s="4904"/>
      <c r="E149" s="4713"/>
      <c r="F149" s="4848"/>
      <c r="G149" s="4876"/>
      <c r="H149" s="1411"/>
      <c r="I149" s="573" t="s">
        <v>1195</v>
      </c>
      <c r="J149" s="497"/>
      <c r="K149" s="1411"/>
      <c r="L149" s="135"/>
      <c r="M149" s="268"/>
      <c r="N149" s="261"/>
      <c r="O149" s="1537"/>
      <c r="P149" s="1537"/>
    </row>
    <row r="150" spans="1:16" s="1924" customFormat="1" ht="0.75" hidden="1" customHeight="1">
      <c r="A150" s="1692"/>
      <c r="B150" s="1692"/>
      <c r="C150" s="298" t="s">
        <v>1203</v>
      </c>
      <c r="D150" s="4904"/>
      <c r="E150" s="4713"/>
      <c r="F150" s="4848"/>
      <c r="G150" s="335"/>
      <c r="H150" s="1411"/>
      <c r="I150" s="573"/>
      <c r="J150" s="497"/>
      <c r="K150" s="1411"/>
      <c r="L150" s="135"/>
      <c r="M150" s="268"/>
      <c r="N150" s="261"/>
      <c r="O150" s="1537"/>
      <c r="P150" s="1537"/>
    </row>
    <row r="151" spans="1:16" s="1924" customFormat="1" ht="18.75" hidden="1" customHeight="1">
      <c r="A151" s="1692" t="s">
        <v>285</v>
      </c>
      <c r="B151" s="1692" t="s">
        <v>286</v>
      </c>
      <c r="C151" s="298"/>
      <c r="D151" s="4904"/>
      <c r="E151" s="4713"/>
      <c r="F151" s="4848" t="str">
        <f>INDEX(PT_DIFFERENTIATION_VTAR,MATCH(A151,PT_DIFFERENTIATION_VTAR_ID,0))</f>
        <v>Тариф на подвоз воды</v>
      </c>
      <c r="G151" s="4876" t="str">
        <f>INDEX(PT_DIFFERENTIATION_NTAR,MATCH(B151,PT_DIFFERENTIATION_NTAR_ID,0))</f>
        <v/>
      </c>
      <c r="H151" s="1774"/>
      <c r="I151" s="1650"/>
      <c r="J151" s="1685"/>
      <c r="K151" s="1690"/>
      <c r="L151" s="1774" t="s">
        <v>445</v>
      </c>
      <c r="M151" s="268"/>
      <c r="N151" s="261"/>
      <c r="O151" s="1537"/>
      <c r="P151" s="1537"/>
    </row>
    <row r="152" spans="1:16" s="1924" customFormat="1" ht="18.75" hidden="1" customHeight="1">
      <c r="A152" s="1692"/>
      <c r="B152" s="1692"/>
      <c r="C152" s="298" t="s">
        <v>1196</v>
      </c>
      <c r="D152" s="4904"/>
      <c r="E152" s="4713"/>
      <c r="F152" s="4848"/>
      <c r="G152" s="4876"/>
      <c r="H152" s="1411"/>
      <c r="I152" s="573" t="s">
        <v>1195</v>
      </c>
      <c r="J152" s="497"/>
      <c r="K152" s="1411"/>
      <c r="L152" s="135"/>
      <c r="M152" s="268"/>
      <c r="N152" s="261"/>
      <c r="O152" s="1537"/>
      <c r="P152" s="1537"/>
    </row>
    <row r="153" spans="1:16" s="1924" customFormat="1" ht="0.75" hidden="1" customHeight="1">
      <c r="A153" s="1692"/>
      <c r="B153" s="1692"/>
      <c r="C153" s="298" t="s">
        <v>1203</v>
      </c>
      <c r="D153" s="4904"/>
      <c r="E153" s="4713"/>
      <c r="F153" s="4848"/>
      <c r="G153" s="335"/>
      <c r="H153" s="1411"/>
      <c r="I153" s="573"/>
      <c r="J153" s="497"/>
      <c r="K153" s="1411"/>
      <c r="L153" s="135"/>
      <c r="M153" s="268"/>
      <c r="N153" s="261"/>
      <c r="O153" s="1537"/>
      <c r="P153" s="1537"/>
    </row>
    <row r="154" spans="1:16" s="1924" customFormat="1" ht="18.75" hidden="1" customHeight="1">
      <c r="A154" s="1692" t="s">
        <v>290</v>
      </c>
      <c r="B154" s="1692" t="s">
        <v>291</v>
      </c>
      <c r="C154" s="298"/>
      <c r="D154" s="4904"/>
      <c r="E154" s="4713"/>
      <c r="F154" s="4848" t="str">
        <f>INDEX(PT_DIFFERENTIATION_VTAR,MATCH(A154,PT_DIFFERENTIATION_VTAR_ID,0))</f>
        <v>Тариф на подключение (технологическое присоединение) к централизованной системе холодного водоснабжения</v>
      </c>
      <c r="G154" s="4876" t="str">
        <f>INDEX(PT_DIFFERENTIATION_NTAR,MATCH(B154,PT_DIFFERENTIATION_NTAR_ID,0))</f>
        <v/>
      </c>
      <c r="H154" s="1774"/>
      <c r="I154" s="1650"/>
      <c r="J154" s="1685"/>
      <c r="K154" s="1690"/>
      <c r="L154" s="1774" t="s">
        <v>445</v>
      </c>
      <c r="M154" s="268"/>
      <c r="N154" s="261"/>
      <c r="O154" s="1537"/>
      <c r="P154" s="1537"/>
    </row>
    <row r="155" spans="1:16" s="1924" customFormat="1" ht="18.75" hidden="1" customHeight="1">
      <c r="A155" s="1692"/>
      <c r="B155" s="1692"/>
      <c r="C155" s="298" t="s">
        <v>1196</v>
      </c>
      <c r="D155" s="4904"/>
      <c r="E155" s="4713"/>
      <c r="F155" s="4848"/>
      <c r="G155" s="4876"/>
      <c r="H155" s="1411"/>
      <c r="I155" s="573" t="s">
        <v>1195</v>
      </c>
      <c r="J155" s="497"/>
      <c r="K155" s="1411"/>
      <c r="L155" s="135"/>
      <c r="M155" s="268"/>
      <c r="N155" s="261"/>
      <c r="O155" s="1537"/>
      <c r="P155" s="1537"/>
    </row>
    <row r="156" spans="1:16" s="1924" customFormat="1" ht="0.75" hidden="1" customHeight="1">
      <c r="A156" s="1692"/>
      <c r="B156" s="1692"/>
      <c r="C156" s="298" t="s">
        <v>1203</v>
      </c>
      <c r="D156" s="4904"/>
      <c r="E156" s="4713"/>
      <c r="F156" s="4848"/>
      <c r="G156" s="335"/>
      <c r="H156" s="1411"/>
      <c r="I156" s="573"/>
      <c r="J156" s="497"/>
      <c r="K156" s="1411"/>
      <c r="L156" s="135"/>
      <c r="M156" s="268"/>
      <c r="N156" s="261"/>
      <c r="O156" s="1537"/>
      <c r="P156" s="1537"/>
    </row>
    <row r="157" spans="1:16" s="1924" customFormat="1" ht="18.75" hidden="1" customHeight="1">
      <c r="A157" s="1692" t="s">
        <v>295</v>
      </c>
      <c r="B157" s="1692" t="s">
        <v>296</v>
      </c>
      <c r="C157" s="298"/>
      <c r="D157" s="4904"/>
      <c r="E157" s="4713"/>
      <c r="F157" s="4848" t="str">
        <f>INDEX(PT_DIFFERENTIATION_VTAR,MATCH(A157,PT_DIFFERENTIATION_VTAR_ID,0))</f>
        <v>Тариф на горячую воду (горячее водоснабжение)</v>
      </c>
      <c r="G157" s="4876" t="str">
        <f>INDEX(PT_DIFFERENTIATION_NTAR,MATCH(B157,PT_DIFFERENTIATION_NTAR_ID,0))</f>
        <v/>
      </c>
      <c r="H157" s="1774"/>
      <c r="I157" s="1650"/>
      <c r="J157" s="1685"/>
      <c r="K157" s="1690"/>
      <c r="L157" s="1774" t="s">
        <v>445</v>
      </c>
      <c r="M157" s="268"/>
      <c r="N157" s="261"/>
      <c r="O157" s="1537"/>
      <c r="P157" s="1537"/>
    </row>
    <row r="158" spans="1:16" s="1924" customFormat="1" ht="18.75" hidden="1" customHeight="1">
      <c r="A158" s="1692"/>
      <c r="B158" s="1692"/>
      <c r="C158" s="298" t="s">
        <v>1196</v>
      </c>
      <c r="D158" s="4904"/>
      <c r="E158" s="4713"/>
      <c r="F158" s="4848"/>
      <c r="G158" s="4876"/>
      <c r="H158" s="1411"/>
      <c r="I158" s="573" t="s">
        <v>1195</v>
      </c>
      <c r="J158" s="497"/>
      <c r="K158" s="1411"/>
      <c r="L158" s="135"/>
      <c r="M158" s="268"/>
      <c r="N158" s="261"/>
      <c r="O158" s="1537"/>
      <c r="P158" s="1537"/>
    </row>
    <row r="159" spans="1:16" s="1924" customFormat="1" ht="0.75" hidden="1" customHeight="1">
      <c r="A159" s="1692"/>
      <c r="B159" s="1692"/>
      <c r="C159" s="298" t="s">
        <v>1203</v>
      </c>
      <c r="D159" s="4904"/>
      <c r="E159" s="4713"/>
      <c r="F159" s="4848"/>
      <c r="G159" s="335"/>
      <c r="H159" s="1411"/>
      <c r="I159" s="573"/>
      <c r="J159" s="497"/>
      <c r="K159" s="1411"/>
      <c r="L159" s="135"/>
      <c r="M159" s="268"/>
      <c r="N159" s="261"/>
      <c r="O159" s="1537"/>
      <c r="P159" s="1537"/>
    </row>
    <row r="160" spans="1:16" s="1924" customFormat="1" ht="18.75" hidden="1" customHeight="1">
      <c r="A160" s="1692" t="s">
        <v>300</v>
      </c>
      <c r="B160" s="1692" t="s">
        <v>301</v>
      </c>
      <c r="C160" s="298"/>
      <c r="D160" s="4904"/>
      <c r="E160" s="4713"/>
      <c r="F160" s="4848" t="str">
        <f>INDEX(PT_DIFFERENTIATION_VTAR,MATCH(A160,PT_DIFFERENTIATION_VTAR_ID,0))</f>
        <v>Тариф на транспортировку горячей воды</v>
      </c>
      <c r="G160" s="4876" t="str">
        <f>INDEX(PT_DIFFERENTIATION_NTAR,MATCH(B160,PT_DIFFERENTIATION_NTAR_ID,0))</f>
        <v/>
      </c>
      <c r="H160" s="1774"/>
      <c r="I160" s="1650"/>
      <c r="J160" s="1685"/>
      <c r="K160" s="1690"/>
      <c r="L160" s="1774" t="s">
        <v>445</v>
      </c>
      <c r="M160" s="268"/>
      <c r="N160" s="261"/>
      <c r="O160" s="1537"/>
      <c r="P160" s="1537"/>
    </row>
    <row r="161" spans="1:16" s="1924" customFormat="1" ht="18.75" hidden="1" customHeight="1">
      <c r="A161" s="1692"/>
      <c r="B161" s="1692"/>
      <c r="C161" s="298" t="s">
        <v>1196</v>
      </c>
      <c r="D161" s="4904"/>
      <c r="E161" s="4713"/>
      <c r="F161" s="4848"/>
      <c r="G161" s="4876"/>
      <c r="H161" s="1411"/>
      <c r="I161" s="573" t="s">
        <v>1195</v>
      </c>
      <c r="J161" s="497"/>
      <c r="K161" s="1411"/>
      <c r="L161" s="135"/>
      <c r="M161" s="268"/>
      <c r="N161" s="261"/>
      <c r="O161" s="1537"/>
      <c r="P161" s="1537"/>
    </row>
    <row r="162" spans="1:16" s="1924" customFormat="1" ht="0.75" hidden="1" customHeight="1">
      <c r="A162" s="1692"/>
      <c r="B162" s="1692"/>
      <c r="C162" s="298" t="s">
        <v>1203</v>
      </c>
      <c r="D162" s="4904"/>
      <c r="E162" s="4713"/>
      <c r="F162" s="4848"/>
      <c r="G162" s="335"/>
      <c r="H162" s="1411"/>
      <c r="I162" s="573"/>
      <c r="J162" s="497"/>
      <c r="K162" s="1411"/>
      <c r="L162" s="135"/>
      <c r="M162" s="268"/>
      <c r="N162" s="261"/>
      <c r="O162" s="1537"/>
      <c r="P162" s="1537"/>
    </row>
    <row r="163" spans="1:16" s="1924" customFormat="1" ht="18.75" hidden="1" customHeight="1">
      <c r="A163" s="1692" t="s">
        <v>305</v>
      </c>
      <c r="B163" s="1692" t="s">
        <v>306</v>
      </c>
      <c r="C163" s="298"/>
      <c r="D163" s="4904"/>
      <c r="E163" s="4713"/>
      <c r="F163" s="4848" t="str">
        <f>INDEX(PT_DIFFERENTIATION_VTAR,MATCH(A163,PT_DIFFERENTIATION_VTAR_ID,0))</f>
        <v>Тариф на подключение (технологическое присоединение) к централизованной системе горячего водоснабжения</v>
      </c>
      <c r="G163" s="4876" t="str">
        <f>INDEX(PT_DIFFERENTIATION_NTAR,MATCH(B163,PT_DIFFERENTIATION_NTAR_ID,0))</f>
        <v/>
      </c>
      <c r="H163" s="1774"/>
      <c r="I163" s="1650"/>
      <c r="J163" s="1685"/>
      <c r="K163" s="1690"/>
      <c r="L163" s="1774" t="s">
        <v>445</v>
      </c>
      <c r="M163" s="268"/>
      <c r="N163" s="261"/>
      <c r="O163" s="1537"/>
      <c r="P163" s="1537"/>
    </row>
    <row r="164" spans="1:16" s="1924" customFormat="1" ht="18.75" hidden="1" customHeight="1">
      <c r="A164" s="1692"/>
      <c r="B164" s="1692"/>
      <c r="C164" s="298" t="s">
        <v>1196</v>
      </c>
      <c r="D164" s="4904"/>
      <c r="E164" s="4713"/>
      <c r="F164" s="4848"/>
      <c r="G164" s="4876"/>
      <c r="H164" s="1411"/>
      <c r="I164" s="573" t="s">
        <v>1195</v>
      </c>
      <c r="J164" s="497"/>
      <c r="K164" s="1411"/>
      <c r="L164" s="135"/>
      <c r="M164" s="268"/>
      <c r="N164" s="261"/>
      <c r="O164" s="1537"/>
      <c r="P164" s="1537"/>
    </row>
    <row r="165" spans="1:16" s="1924" customFormat="1" ht="0.75" hidden="1" customHeight="1">
      <c r="A165" s="1692"/>
      <c r="B165" s="1692"/>
      <c r="C165" s="298" t="s">
        <v>1203</v>
      </c>
      <c r="D165" s="4904"/>
      <c r="E165" s="4713"/>
      <c r="F165" s="4848"/>
      <c r="G165" s="335"/>
      <c r="H165" s="1411"/>
      <c r="I165" s="573"/>
      <c r="J165" s="497"/>
      <c r="K165" s="1411"/>
      <c r="L165" s="135"/>
      <c r="M165" s="268"/>
      <c r="N165" s="261"/>
      <c r="O165" s="1537"/>
      <c r="P165" s="1537"/>
    </row>
    <row r="166" spans="1:16" s="1924" customFormat="1" ht="18.75" hidden="1" customHeight="1">
      <c r="A166" s="1692" t="s">
        <v>312</v>
      </c>
      <c r="B166" s="1692" t="s">
        <v>313</v>
      </c>
      <c r="C166" s="298"/>
      <c r="D166" s="4904"/>
      <c r="E166" s="4713"/>
      <c r="F166" s="4848" t="str">
        <f>INDEX(PT_DIFFERENTIATION_VTAR,MATCH(A166,PT_DIFFERENTIATION_VTAR_ID,0))</f>
        <v>Тариф на водоотведение</v>
      </c>
      <c r="G166" s="4876" t="str">
        <f>INDEX(PT_DIFFERENTIATION_NTAR,MATCH(B166,PT_DIFFERENTIATION_NTAR_ID,0))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H166" s="1774"/>
      <c r="I166" s="1650"/>
      <c r="J166" s="1685"/>
      <c r="K166" s="1690"/>
      <c r="L166" s="1774" t="s">
        <v>445</v>
      </c>
      <c r="M166" s="268"/>
      <c r="N166" s="261"/>
      <c r="O166" s="1537"/>
      <c r="P166" s="1537"/>
    </row>
    <row r="167" spans="1:16" s="1924" customFormat="1" ht="18.75" hidden="1" customHeight="1">
      <c r="A167" s="1692"/>
      <c r="B167" s="1692"/>
      <c r="C167" s="298" t="s">
        <v>1196</v>
      </c>
      <c r="D167" s="4904"/>
      <c r="E167" s="4713"/>
      <c r="F167" s="4848"/>
      <c r="G167" s="4876"/>
      <c r="H167" s="1411"/>
      <c r="I167" s="573" t="s">
        <v>1195</v>
      </c>
      <c r="J167" s="497"/>
      <c r="K167" s="1411"/>
      <c r="L167" s="135"/>
      <c r="M167" s="268"/>
      <c r="N167" s="261"/>
      <c r="O167" s="1537"/>
      <c r="P167" s="1537"/>
    </row>
    <row r="168" spans="1:16" s="4110" customFormat="1" ht="18.75" customHeight="1">
      <c r="A168" s="2041" t="s">
        <v>312</v>
      </c>
      <c r="B168" s="2041" t="s">
        <v>319</v>
      </c>
      <c r="C168" s="4103"/>
      <c r="D168" s="4905"/>
      <c r="E168" s="4906"/>
      <c r="F168" s="4906"/>
      <c r="G168" s="4876" t="str">
        <f>INDEX(PT_DIFFERENTIATION_NTAR,MATCH(B168,PT_DIFFERENTIATION_NTAR_ID,0))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H168" s="4104"/>
      <c r="I168" s="4105"/>
      <c r="J168" s="4106"/>
      <c r="K168" s="4196"/>
      <c r="L168" s="4104" t="s">
        <v>445</v>
      </c>
      <c r="M168" s="4108"/>
      <c r="N168" s="4109"/>
      <c r="O168" s="1979"/>
      <c r="P168" s="1979"/>
    </row>
    <row r="169" spans="1:16" s="4110" customFormat="1" ht="18.75" customHeight="1">
      <c r="A169" s="2041"/>
      <c r="B169" s="2041"/>
      <c r="C169" s="4103" t="s">
        <v>1196</v>
      </c>
      <c r="D169" s="4905"/>
      <c r="E169" s="4906"/>
      <c r="F169" s="4906"/>
      <c r="G169" s="4876"/>
      <c r="H169" s="4197"/>
      <c r="I169" s="4198" t="s">
        <v>1195</v>
      </c>
      <c r="J169" s="4199"/>
      <c r="K169" s="4200"/>
      <c r="L169" s="4201"/>
      <c r="M169" s="4108"/>
      <c r="N169" s="4109"/>
      <c r="O169" s="1979"/>
      <c r="P169" s="1979"/>
    </row>
    <row r="170" spans="1:16" s="4110" customFormat="1" ht="18.75" customHeight="1">
      <c r="A170" s="2041" t="s">
        <v>312</v>
      </c>
      <c r="B170" s="2041" t="s">
        <v>324</v>
      </c>
      <c r="C170" s="4103"/>
      <c r="D170" s="4905"/>
      <c r="E170" s="4906"/>
      <c r="F170" s="4906"/>
      <c r="G170" s="4876" t="str">
        <f>INDEX(PT_DIFFERENTIATION_NTAR,MATCH(B170,PT_DIFFERENTIATION_NTAR_ID,0))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H170" s="4104"/>
      <c r="I170" s="4105"/>
      <c r="J170" s="4106"/>
      <c r="K170" s="4196"/>
      <c r="L170" s="4104" t="s">
        <v>445</v>
      </c>
      <c r="M170" s="4108"/>
      <c r="N170" s="4109"/>
      <c r="O170" s="1979"/>
      <c r="P170" s="1979"/>
    </row>
    <row r="171" spans="1:16" s="4110" customFormat="1" ht="18.75" customHeight="1">
      <c r="A171" s="2041"/>
      <c r="B171" s="2041"/>
      <c r="C171" s="4103" t="s">
        <v>1196</v>
      </c>
      <c r="D171" s="4905"/>
      <c r="E171" s="4906"/>
      <c r="F171" s="4906"/>
      <c r="G171" s="4876"/>
      <c r="H171" s="4202"/>
      <c r="I171" s="4203" t="s">
        <v>1195</v>
      </c>
      <c r="J171" s="4204"/>
      <c r="K171" s="4205"/>
      <c r="L171" s="4206"/>
      <c r="M171" s="4108"/>
      <c r="N171" s="4109"/>
      <c r="O171" s="1979"/>
      <c r="P171" s="1979"/>
    </row>
    <row r="172" spans="1:16" s="4110" customFormat="1" ht="18.75" customHeight="1">
      <c r="A172" s="2041" t="s">
        <v>312</v>
      </c>
      <c r="B172" s="2041" t="s">
        <v>329</v>
      </c>
      <c r="C172" s="4103"/>
      <c r="D172" s="4905"/>
      <c r="E172" s="4906"/>
      <c r="F172" s="4906"/>
      <c r="G172" s="4876" t="str">
        <f>INDEX(PT_DIFFERENTIATION_NTAR,MATCH(B172,PT_DIFFERENTIATION_NTAR_ID,0))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H172" s="4104"/>
      <c r="I172" s="4105"/>
      <c r="J172" s="4106"/>
      <c r="K172" s="4196"/>
      <c r="L172" s="4104" t="s">
        <v>445</v>
      </c>
      <c r="M172" s="4108"/>
      <c r="N172" s="4109"/>
      <c r="O172" s="1979"/>
      <c r="P172" s="1979"/>
    </row>
    <row r="173" spans="1:16" s="4110" customFormat="1" ht="18.75" customHeight="1">
      <c r="A173" s="2041"/>
      <c r="B173" s="2041"/>
      <c r="C173" s="4103" t="s">
        <v>1196</v>
      </c>
      <c r="D173" s="4905"/>
      <c r="E173" s="4906"/>
      <c r="F173" s="4906"/>
      <c r="G173" s="4876"/>
      <c r="H173" s="4207"/>
      <c r="I173" s="4208" t="s">
        <v>1195</v>
      </c>
      <c r="J173" s="4209"/>
      <c r="K173" s="4210"/>
      <c r="L173" s="4211"/>
      <c r="M173" s="4108"/>
      <c r="N173" s="4109"/>
      <c r="O173" s="1979"/>
      <c r="P173" s="1979"/>
    </row>
    <row r="174" spans="1:16" s="4110" customFormat="1" ht="18.75" customHeight="1">
      <c r="A174" s="2041" t="s">
        <v>312</v>
      </c>
      <c r="B174" s="2041" t="s">
        <v>334</v>
      </c>
      <c r="C174" s="4103"/>
      <c r="D174" s="4905"/>
      <c r="E174" s="4906"/>
      <c r="F174" s="4906"/>
      <c r="G174" s="4876" t="str">
        <f>INDEX(PT_DIFFERENTIATION_NTAR,MATCH(B174,PT_DIFFERENTIATION_NTAR_ID,0))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H174" s="4104"/>
      <c r="I174" s="4105"/>
      <c r="J174" s="4106"/>
      <c r="K174" s="4196"/>
      <c r="L174" s="4104" t="s">
        <v>445</v>
      </c>
      <c r="M174" s="4108"/>
      <c r="N174" s="4109"/>
      <c r="O174" s="1979"/>
      <c r="P174" s="1979"/>
    </row>
    <row r="175" spans="1:16" s="4110" customFormat="1" ht="18.75" customHeight="1">
      <c r="A175" s="2041"/>
      <c r="B175" s="2041"/>
      <c r="C175" s="4103" t="s">
        <v>1196</v>
      </c>
      <c r="D175" s="4905"/>
      <c r="E175" s="4906"/>
      <c r="F175" s="4906"/>
      <c r="G175" s="4876"/>
      <c r="H175" s="4212"/>
      <c r="I175" s="4213" t="s">
        <v>1195</v>
      </c>
      <c r="J175" s="4214"/>
      <c r="K175" s="4215"/>
      <c r="L175" s="4216"/>
      <c r="M175" s="4108"/>
      <c r="N175" s="4109"/>
      <c r="O175" s="1979"/>
      <c r="P175" s="1979"/>
    </row>
    <row r="176" spans="1:16" s="4110" customFormat="1" ht="18.75" customHeight="1">
      <c r="A176" s="2041" t="s">
        <v>312</v>
      </c>
      <c r="B176" s="2041" t="s">
        <v>339</v>
      </c>
      <c r="C176" s="4103"/>
      <c r="D176" s="4905"/>
      <c r="E176" s="4906"/>
      <c r="F176" s="4906"/>
      <c r="G176" s="4876" t="str">
        <f>INDEX(PT_DIFFERENTIATION_NTAR,MATCH(B176,PT_DIFFERENTIATION_NTAR_ID,0))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H176" s="4104"/>
      <c r="I176" s="4105"/>
      <c r="J176" s="4106"/>
      <c r="K176" s="4196"/>
      <c r="L176" s="4104" t="s">
        <v>445</v>
      </c>
      <c r="M176" s="4108"/>
      <c r="N176" s="4109"/>
      <c r="O176" s="1979"/>
      <c r="P176" s="1979"/>
    </row>
    <row r="177" spans="1:16" s="4110" customFormat="1" ht="18.75" customHeight="1">
      <c r="A177" s="2041"/>
      <c r="B177" s="2041"/>
      <c r="C177" s="4103" t="s">
        <v>1196</v>
      </c>
      <c r="D177" s="4905"/>
      <c r="E177" s="4906"/>
      <c r="F177" s="4906"/>
      <c r="G177" s="4876"/>
      <c r="H177" s="4217"/>
      <c r="I177" s="4218" t="s">
        <v>1195</v>
      </c>
      <c r="J177" s="4219"/>
      <c r="K177" s="4220"/>
      <c r="L177" s="4221"/>
      <c r="M177" s="4108"/>
      <c r="N177" s="4109"/>
      <c r="O177" s="1979"/>
      <c r="P177" s="1979"/>
    </row>
    <row r="178" spans="1:16" s="4110" customFormat="1" ht="18.75" customHeight="1">
      <c r="A178" s="2041" t="s">
        <v>312</v>
      </c>
      <c r="B178" s="2041" t="s">
        <v>344</v>
      </c>
      <c r="C178" s="4103"/>
      <c r="D178" s="4905"/>
      <c r="E178" s="4906"/>
      <c r="F178" s="4906"/>
      <c r="G178" s="4876" t="str">
        <f>INDEX(PT_DIFFERENTIATION_NTAR,MATCH(B178,PT_DIFFERENTIATION_NTAR_ID,0))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H178" s="4104"/>
      <c r="I178" s="4105"/>
      <c r="J178" s="4106"/>
      <c r="K178" s="4196"/>
      <c r="L178" s="4104" t="s">
        <v>445</v>
      </c>
      <c r="M178" s="4108"/>
      <c r="N178" s="4109"/>
      <c r="O178" s="1979"/>
      <c r="P178" s="1979"/>
    </row>
    <row r="179" spans="1:16" s="4110" customFormat="1" ht="18.75" customHeight="1">
      <c r="A179" s="2041"/>
      <c r="B179" s="2041"/>
      <c r="C179" s="4103" t="s">
        <v>1196</v>
      </c>
      <c r="D179" s="4905"/>
      <c r="E179" s="4906"/>
      <c r="F179" s="4906"/>
      <c r="G179" s="4876"/>
      <c r="H179" s="4222"/>
      <c r="I179" s="4223" t="s">
        <v>1195</v>
      </c>
      <c r="J179" s="4224"/>
      <c r="K179" s="4225"/>
      <c r="L179" s="4226"/>
      <c r="M179" s="4108"/>
      <c r="N179" s="4109"/>
      <c r="O179" s="1979"/>
      <c r="P179" s="1979"/>
    </row>
    <row r="180" spans="1:16" s="4110" customFormat="1" ht="18.75" customHeight="1">
      <c r="A180" s="2041" t="s">
        <v>312</v>
      </c>
      <c r="B180" s="2041" t="s">
        <v>349</v>
      </c>
      <c r="C180" s="4103"/>
      <c r="D180" s="4905"/>
      <c r="E180" s="4906"/>
      <c r="F180" s="4906"/>
      <c r="G180" s="4876" t="str">
        <f>INDEX(PT_DIFFERENTIATION_NTAR,MATCH(B180,PT_DIFFERENTIATION_NTAR_ID,0))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H180" s="4104"/>
      <c r="I180" s="4105"/>
      <c r="J180" s="4106"/>
      <c r="K180" s="4196"/>
      <c r="L180" s="4104" t="s">
        <v>445</v>
      </c>
      <c r="M180" s="4108"/>
      <c r="N180" s="4109"/>
      <c r="O180" s="1979"/>
      <c r="P180" s="1979"/>
    </row>
    <row r="181" spans="1:16" s="4110" customFormat="1" ht="18.75" customHeight="1">
      <c r="A181" s="2041"/>
      <c r="B181" s="2041"/>
      <c r="C181" s="4103" t="s">
        <v>1196</v>
      </c>
      <c r="D181" s="4905"/>
      <c r="E181" s="4906"/>
      <c r="F181" s="4906"/>
      <c r="G181" s="4876"/>
      <c r="H181" s="4227"/>
      <c r="I181" s="4228" t="s">
        <v>1195</v>
      </c>
      <c r="J181" s="4229"/>
      <c r="K181" s="4230"/>
      <c r="L181" s="4231"/>
      <c r="M181" s="4108"/>
      <c r="N181" s="4109"/>
      <c r="O181" s="1979"/>
      <c r="P181" s="1979"/>
    </row>
    <row r="182" spans="1:16" s="4110" customFormat="1" ht="18.75" customHeight="1">
      <c r="A182" s="2041" t="s">
        <v>312</v>
      </c>
      <c r="B182" s="2041" t="s">
        <v>354</v>
      </c>
      <c r="C182" s="4103"/>
      <c r="D182" s="4905"/>
      <c r="E182" s="4906"/>
      <c r="F182" s="4906"/>
      <c r="G182" s="4876" t="str">
        <f>INDEX(PT_DIFFERENTIATION_NTAR,MATCH(B182,PT_DIFFERENTIATION_NTAR_ID,0))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H182" s="4104"/>
      <c r="I182" s="4105"/>
      <c r="J182" s="4106"/>
      <c r="K182" s="4196"/>
      <c r="L182" s="4104" t="s">
        <v>445</v>
      </c>
      <c r="M182" s="4108"/>
      <c r="N182" s="4109"/>
      <c r="O182" s="1979"/>
      <c r="P182" s="1979"/>
    </row>
    <row r="183" spans="1:16" s="4110" customFormat="1" ht="18.75" customHeight="1">
      <c r="A183" s="2041"/>
      <c r="B183" s="2041"/>
      <c r="C183" s="4103" t="s">
        <v>1196</v>
      </c>
      <c r="D183" s="4905"/>
      <c r="E183" s="4906"/>
      <c r="F183" s="4906"/>
      <c r="G183" s="4876"/>
      <c r="H183" s="4232"/>
      <c r="I183" s="4233" t="s">
        <v>1195</v>
      </c>
      <c r="J183" s="4234"/>
      <c r="K183" s="4235"/>
      <c r="L183" s="4236"/>
      <c r="M183" s="4108"/>
      <c r="N183" s="4109"/>
      <c r="O183" s="1979"/>
      <c r="P183" s="1979"/>
    </row>
    <row r="184" spans="1:16" s="4110" customFormat="1" ht="18.75" customHeight="1">
      <c r="A184" s="2041" t="s">
        <v>312</v>
      </c>
      <c r="B184" s="2041" t="s">
        <v>359</v>
      </c>
      <c r="C184" s="4103"/>
      <c r="D184" s="4905"/>
      <c r="E184" s="4906"/>
      <c r="F184" s="4906"/>
      <c r="G184" s="4876" t="str">
        <f>INDEX(PT_DIFFERENTIATION_NTAR,MATCH(B184,PT_DIFFERENTIATION_NTAR_ID,0))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H184" s="4104"/>
      <c r="I184" s="4105"/>
      <c r="J184" s="4106"/>
      <c r="K184" s="4196"/>
      <c r="L184" s="4104" t="s">
        <v>445</v>
      </c>
      <c r="M184" s="4108"/>
      <c r="N184" s="4109"/>
      <c r="O184" s="1979"/>
      <c r="P184" s="1979"/>
    </row>
    <row r="185" spans="1:16" s="4110" customFormat="1" ht="18.75" customHeight="1">
      <c r="A185" s="2041"/>
      <c r="B185" s="2041"/>
      <c r="C185" s="4103" t="s">
        <v>1196</v>
      </c>
      <c r="D185" s="4905"/>
      <c r="E185" s="4906"/>
      <c r="F185" s="4906"/>
      <c r="G185" s="4876"/>
      <c r="H185" s="4237"/>
      <c r="I185" s="4238" t="s">
        <v>1195</v>
      </c>
      <c r="J185" s="4239"/>
      <c r="K185" s="4240"/>
      <c r="L185" s="4241"/>
      <c r="M185" s="4108"/>
      <c r="N185" s="4109"/>
      <c r="O185" s="1979"/>
      <c r="P185" s="1979"/>
    </row>
    <row r="186" spans="1:16" s="4110" customFormat="1" ht="18.75" customHeight="1">
      <c r="A186" s="2041" t="s">
        <v>312</v>
      </c>
      <c r="B186" s="2041" t="s">
        <v>364</v>
      </c>
      <c r="C186" s="4103"/>
      <c r="D186" s="4905"/>
      <c r="E186" s="4906"/>
      <c r="F186" s="4906"/>
      <c r="G186" s="4876" t="str">
        <f>INDEX(PT_DIFFERENTIATION_NTAR,MATCH(B186,PT_DIFFERENTIATION_NTAR_ID,0))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H186" s="4104"/>
      <c r="I186" s="4105"/>
      <c r="J186" s="4106"/>
      <c r="K186" s="4196"/>
      <c r="L186" s="4104" t="s">
        <v>445</v>
      </c>
      <c r="M186" s="4108"/>
      <c r="N186" s="4109"/>
      <c r="O186" s="1979"/>
      <c r="P186" s="1979"/>
    </row>
    <row r="187" spans="1:16" s="4110" customFormat="1" ht="18.75" customHeight="1">
      <c r="A187" s="2041"/>
      <c r="B187" s="2041"/>
      <c r="C187" s="4103" t="s">
        <v>1196</v>
      </c>
      <c r="D187" s="4905"/>
      <c r="E187" s="4906"/>
      <c r="F187" s="4906"/>
      <c r="G187" s="4876"/>
      <c r="H187" s="4242"/>
      <c r="I187" s="4243" t="s">
        <v>1195</v>
      </c>
      <c r="J187" s="4244"/>
      <c r="K187" s="4245"/>
      <c r="L187" s="4246"/>
      <c r="M187" s="4108"/>
      <c r="N187" s="4109"/>
      <c r="O187" s="1979"/>
      <c r="P187" s="1979"/>
    </row>
    <row r="188" spans="1:16" s="4110" customFormat="1" ht="18.75" customHeight="1">
      <c r="A188" s="2041" t="s">
        <v>312</v>
      </c>
      <c r="B188" s="2041" t="s">
        <v>369</v>
      </c>
      <c r="C188" s="4103"/>
      <c r="D188" s="4905"/>
      <c r="E188" s="4906"/>
      <c r="F188" s="4906"/>
      <c r="G188" s="4876" t="str">
        <f>INDEX(PT_DIFFERENTIATION_NTAR,MATCH(B188,PT_DIFFERENTIATION_NTAR_ID,0))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H188" s="4104"/>
      <c r="I188" s="4105"/>
      <c r="J188" s="4106"/>
      <c r="K188" s="4196"/>
      <c r="L188" s="4104" t="s">
        <v>445</v>
      </c>
      <c r="M188" s="4108"/>
      <c r="N188" s="4109"/>
      <c r="O188" s="1979"/>
      <c r="P188" s="1979"/>
    </row>
    <row r="189" spans="1:16" s="4110" customFormat="1" ht="18.75" customHeight="1">
      <c r="A189" s="2041"/>
      <c r="B189" s="2041"/>
      <c r="C189" s="4103" t="s">
        <v>1196</v>
      </c>
      <c r="D189" s="4905"/>
      <c r="E189" s="4906"/>
      <c r="F189" s="4906"/>
      <c r="G189" s="4876"/>
      <c r="H189" s="4247"/>
      <c r="I189" s="4248" t="s">
        <v>1195</v>
      </c>
      <c r="J189" s="4249"/>
      <c r="K189" s="4250"/>
      <c r="L189" s="4251"/>
      <c r="M189" s="4108"/>
      <c r="N189" s="4109"/>
      <c r="O189" s="1979"/>
      <c r="P189" s="1979"/>
    </row>
    <row r="190" spans="1:16" s="4110" customFormat="1" ht="18.75" customHeight="1">
      <c r="A190" s="2041" t="s">
        <v>312</v>
      </c>
      <c r="B190" s="2041" t="s">
        <v>374</v>
      </c>
      <c r="C190" s="4103"/>
      <c r="D190" s="4905"/>
      <c r="E190" s="4906"/>
      <c r="F190" s="4906"/>
      <c r="G190" s="4876" t="str">
        <f>INDEX(PT_DIFFERENTIATION_NTAR,MATCH(B190,PT_DIFFERENTIATION_NTAR_ID,0))</f>
        <v>С использованием централизованной системы водоотведения на территории села Криуши МО "Город Новоульяновск" Ульяновской области</v>
      </c>
      <c r="H190" s="4104"/>
      <c r="I190" s="4105"/>
      <c r="J190" s="4106"/>
      <c r="K190" s="4196"/>
      <c r="L190" s="4104" t="s">
        <v>445</v>
      </c>
      <c r="M190" s="4108"/>
      <c r="N190" s="4109"/>
      <c r="O190" s="1979"/>
      <c r="P190" s="1979"/>
    </row>
    <row r="191" spans="1:16" s="4110" customFormat="1" ht="18.75" customHeight="1">
      <c r="A191" s="2041"/>
      <c r="B191" s="2041"/>
      <c r="C191" s="4103" t="s">
        <v>1196</v>
      </c>
      <c r="D191" s="4905"/>
      <c r="E191" s="4906"/>
      <c r="F191" s="4906"/>
      <c r="G191" s="4876"/>
      <c r="H191" s="4252"/>
      <c r="I191" s="4253" t="s">
        <v>1195</v>
      </c>
      <c r="J191" s="4254"/>
      <c r="K191" s="4255"/>
      <c r="L191" s="4256"/>
      <c r="M191" s="4108"/>
      <c r="N191" s="4109"/>
      <c r="O191" s="1979"/>
      <c r="P191" s="1979"/>
    </row>
    <row r="192" spans="1:16" s="4110" customFormat="1" ht="18.75" customHeight="1">
      <c r="A192" s="2041" t="s">
        <v>312</v>
      </c>
      <c r="B192" s="2041" t="s">
        <v>379</v>
      </c>
      <c r="C192" s="4103"/>
      <c r="D192" s="4905"/>
      <c r="E192" s="4906"/>
      <c r="F192" s="4906"/>
      <c r="G192" s="4876" t="str">
        <f>INDEX(PT_DIFFERENTIATION_NTAR,MATCH(B192,PT_DIFFERENTIATION_NTAR_ID,0))</f>
        <v>С использованием централизованной системы водоотведения на территории посёлка Липки МО "Город Новоульяновск Ульяновской области</v>
      </c>
      <c r="H192" s="4104"/>
      <c r="I192" s="4105"/>
      <c r="J192" s="4106"/>
      <c r="K192" s="4196"/>
      <c r="L192" s="4104" t="s">
        <v>445</v>
      </c>
      <c r="M192" s="4108"/>
      <c r="N192" s="4109"/>
      <c r="O192" s="1979"/>
      <c r="P192" s="1979"/>
    </row>
    <row r="193" spans="1:16" s="4110" customFormat="1" ht="18.75" customHeight="1">
      <c r="A193" s="2041"/>
      <c r="B193" s="2041"/>
      <c r="C193" s="4103" t="s">
        <v>1196</v>
      </c>
      <c r="D193" s="4905"/>
      <c r="E193" s="4906"/>
      <c r="F193" s="4906"/>
      <c r="G193" s="4876"/>
      <c r="H193" s="4257"/>
      <c r="I193" s="4258" t="s">
        <v>1195</v>
      </c>
      <c r="J193" s="4259"/>
      <c r="K193" s="4260"/>
      <c r="L193" s="4261"/>
      <c r="M193" s="4108"/>
      <c r="N193" s="4109"/>
      <c r="O193" s="1979"/>
      <c r="P193" s="1979"/>
    </row>
    <row r="194" spans="1:16" s="4110" customFormat="1" ht="18.75" customHeight="1">
      <c r="A194" s="2041" t="s">
        <v>312</v>
      </c>
      <c r="B194" s="2041" t="s">
        <v>385</v>
      </c>
      <c r="C194" s="4103"/>
      <c r="D194" s="4905"/>
      <c r="E194" s="4906"/>
      <c r="F194" s="4906"/>
      <c r="G194" s="4876" t="str">
        <f>INDEX(PT_DIFFERENTIATION_NTAR,MATCH(B194,PT_DIFFERENTIATION_NTAR_ID,0))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H194" s="4104"/>
      <c r="I194" s="4105"/>
      <c r="J194" s="4106"/>
      <c r="K194" s="4196"/>
      <c r="L194" s="4104" t="s">
        <v>445</v>
      </c>
      <c r="M194" s="4108"/>
      <c r="N194" s="4109"/>
      <c r="O194" s="1979"/>
      <c r="P194" s="1979"/>
    </row>
    <row r="195" spans="1:16" s="4110" customFormat="1" ht="18.75" customHeight="1">
      <c r="A195" s="2041"/>
      <c r="B195" s="2041"/>
      <c r="C195" s="4103" t="s">
        <v>1196</v>
      </c>
      <c r="D195" s="4905"/>
      <c r="E195" s="4906"/>
      <c r="F195" s="4906"/>
      <c r="G195" s="4876"/>
      <c r="H195" s="4262"/>
      <c r="I195" s="4263" t="s">
        <v>1195</v>
      </c>
      <c r="J195" s="4264"/>
      <c r="K195" s="4265"/>
      <c r="L195" s="4266"/>
      <c r="M195" s="4108"/>
      <c r="N195" s="4109"/>
      <c r="O195" s="1979"/>
      <c r="P195" s="1979"/>
    </row>
    <row r="196" spans="1:16" s="4110" customFormat="1" ht="18.75" customHeight="1">
      <c r="A196" s="2041" t="s">
        <v>312</v>
      </c>
      <c r="B196" s="2041" t="s">
        <v>391</v>
      </c>
      <c r="C196" s="4103"/>
      <c r="D196" s="4905"/>
      <c r="E196" s="4906"/>
      <c r="F196" s="4906"/>
      <c r="G196" s="4876" t="str">
        <f>INDEX(PT_DIFFERENTIATION_NTAR,MATCH(B196,PT_DIFFERENTIATION_NTAR_ID,0))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H196" s="4104"/>
      <c r="I196" s="4105"/>
      <c r="J196" s="4106"/>
      <c r="K196" s="4196"/>
      <c r="L196" s="4104" t="s">
        <v>445</v>
      </c>
      <c r="M196" s="4108"/>
      <c r="N196" s="4109"/>
      <c r="O196" s="1979"/>
      <c r="P196" s="1979"/>
    </row>
    <row r="197" spans="1:16" s="4110" customFormat="1" ht="18.75" customHeight="1">
      <c r="A197" s="2041"/>
      <c r="B197" s="2041"/>
      <c r="C197" s="4103" t="s">
        <v>1196</v>
      </c>
      <c r="D197" s="4905"/>
      <c r="E197" s="4906"/>
      <c r="F197" s="4906"/>
      <c r="G197" s="4876"/>
      <c r="H197" s="4267"/>
      <c r="I197" s="4268" t="s">
        <v>1195</v>
      </c>
      <c r="J197" s="4269"/>
      <c r="K197" s="4270"/>
      <c r="L197" s="4271"/>
      <c r="M197" s="4108"/>
      <c r="N197" s="4109"/>
      <c r="O197" s="1979"/>
      <c r="P197" s="1979"/>
    </row>
    <row r="198" spans="1:16" s="4110" customFormat="1" ht="18.75" customHeight="1">
      <c r="A198" s="2041" t="s">
        <v>312</v>
      </c>
      <c r="B198" s="2041" t="s">
        <v>397</v>
      </c>
      <c r="C198" s="4103"/>
      <c r="D198" s="4905"/>
      <c r="E198" s="4906"/>
      <c r="F198" s="4906"/>
      <c r="G198" s="4876" t="str">
        <f>INDEX(PT_DIFFERENTIATION_NTAR,MATCH(B198,PT_DIFFERENTIATION_NTAR_ID,0))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H198" s="4104"/>
      <c r="I198" s="4105"/>
      <c r="J198" s="4106"/>
      <c r="K198" s="4196"/>
      <c r="L198" s="4104" t="s">
        <v>445</v>
      </c>
      <c r="M198" s="4108"/>
      <c r="N198" s="4109"/>
      <c r="O198" s="1979"/>
      <c r="P198" s="1979"/>
    </row>
    <row r="199" spans="1:16" s="4110" customFormat="1" ht="18.75" customHeight="1">
      <c r="A199" s="2041"/>
      <c r="B199" s="2041"/>
      <c r="C199" s="4103" t="s">
        <v>1196</v>
      </c>
      <c r="D199" s="4905"/>
      <c r="E199" s="4906"/>
      <c r="F199" s="4906"/>
      <c r="G199" s="4876"/>
      <c r="H199" s="4272"/>
      <c r="I199" s="4273" t="s">
        <v>1195</v>
      </c>
      <c r="J199" s="4274"/>
      <c r="K199" s="4275"/>
      <c r="L199" s="4276"/>
      <c r="M199" s="4108"/>
      <c r="N199" s="4109"/>
      <c r="O199" s="1979"/>
      <c r="P199" s="1979"/>
    </row>
    <row r="200" spans="1:16" s="4110" customFormat="1" ht="18.75" customHeight="1">
      <c r="A200" s="2041" t="s">
        <v>312</v>
      </c>
      <c r="B200" s="2041" t="s">
        <v>403</v>
      </c>
      <c r="C200" s="4103"/>
      <c r="D200" s="4905"/>
      <c r="E200" s="4906"/>
      <c r="F200" s="4906"/>
      <c r="G200" s="4876" t="str">
        <f>INDEX(PT_DIFFERENTIATION_NTAR,MATCH(B200,PT_DIFFERENTIATION_NTAR_ID,0))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H200" s="4104"/>
      <c r="I200" s="4105"/>
      <c r="J200" s="4106"/>
      <c r="K200" s="4196"/>
      <c r="L200" s="4104" t="s">
        <v>445</v>
      </c>
      <c r="M200" s="4108"/>
      <c r="N200" s="4109"/>
      <c r="O200" s="1979"/>
      <c r="P200" s="1979"/>
    </row>
    <row r="201" spans="1:16" s="4110" customFormat="1" ht="18.75" customHeight="1">
      <c r="A201" s="2041"/>
      <c r="B201" s="2041"/>
      <c r="C201" s="4103" t="s">
        <v>1196</v>
      </c>
      <c r="D201" s="4905"/>
      <c r="E201" s="4906"/>
      <c r="F201" s="4906"/>
      <c r="G201" s="4876"/>
      <c r="H201" s="4277"/>
      <c r="I201" s="4278" t="s">
        <v>1195</v>
      </c>
      <c r="J201" s="4279"/>
      <c r="K201" s="4280"/>
      <c r="L201" s="4281"/>
      <c r="M201" s="4108"/>
      <c r="N201" s="4109"/>
      <c r="O201" s="1979"/>
      <c r="P201" s="1979"/>
    </row>
    <row r="202" spans="1:16" s="1924" customFormat="1" ht="0.75" hidden="1" customHeight="1">
      <c r="A202" s="1692"/>
      <c r="B202" s="1692"/>
      <c r="C202" s="298" t="s">
        <v>1203</v>
      </c>
      <c r="D202" s="4904"/>
      <c r="E202" s="4713"/>
      <c r="F202" s="4848"/>
      <c r="G202" s="335"/>
      <c r="H202" s="1411"/>
      <c r="I202" s="573"/>
      <c r="J202" s="497"/>
      <c r="K202" s="1411"/>
      <c r="L202" s="135"/>
      <c r="M202" s="268"/>
      <c r="N202" s="261"/>
      <c r="O202" s="1537"/>
      <c r="P202" s="1537"/>
    </row>
    <row r="203" spans="1:16" s="1924" customFormat="1" ht="18.75" hidden="1" customHeight="1">
      <c r="A203" s="1692" t="s">
        <v>409</v>
      </c>
      <c r="B203" s="1692" t="s">
        <v>410</v>
      </c>
      <c r="C203" s="298"/>
      <c r="D203" s="4904"/>
      <c r="E203" s="4713"/>
      <c r="F203" s="4848" t="str">
        <f>INDEX(PT_DIFFERENTIATION_VTAR,MATCH(A203,PT_DIFFERENTIATION_VTAR_ID,0))</f>
        <v>Тариф на транспортировку сточных вод</v>
      </c>
      <c r="G203" s="4876" t="str">
        <f>INDEX(PT_DIFFERENTIATION_NTAR,MATCH(B203,PT_DIFFERENTIATION_NTAR_ID,0))</f>
        <v/>
      </c>
      <c r="H203" s="1774"/>
      <c r="I203" s="1650"/>
      <c r="J203" s="1685"/>
      <c r="K203" s="1690"/>
      <c r="L203" s="1774" t="s">
        <v>445</v>
      </c>
      <c r="M203" s="268"/>
      <c r="N203" s="261"/>
      <c r="O203" s="1537"/>
      <c r="P203" s="1537"/>
    </row>
    <row r="204" spans="1:16" s="1924" customFormat="1" ht="18.75" hidden="1" customHeight="1">
      <c r="A204" s="1692"/>
      <c r="B204" s="1692"/>
      <c r="C204" s="298" t="s">
        <v>1196</v>
      </c>
      <c r="D204" s="4904"/>
      <c r="E204" s="4713"/>
      <c r="F204" s="4848"/>
      <c r="G204" s="4876"/>
      <c r="H204" s="1411"/>
      <c r="I204" s="573" t="s">
        <v>1195</v>
      </c>
      <c r="J204" s="497"/>
      <c r="K204" s="1411"/>
      <c r="L204" s="135"/>
      <c r="M204" s="268"/>
      <c r="N204" s="261"/>
      <c r="O204" s="1537"/>
      <c r="P204" s="1537"/>
    </row>
    <row r="205" spans="1:16" s="1924" customFormat="1" ht="0.75" hidden="1" customHeight="1">
      <c r="A205" s="1692"/>
      <c r="B205" s="1692"/>
      <c r="C205" s="298" t="s">
        <v>1203</v>
      </c>
      <c r="D205" s="4904"/>
      <c r="E205" s="4713"/>
      <c r="F205" s="4848"/>
      <c r="G205" s="335"/>
      <c r="H205" s="1411"/>
      <c r="I205" s="573"/>
      <c r="J205" s="497"/>
      <c r="K205" s="1411"/>
      <c r="L205" s="135"/>
      <c r="M205" s="268"/>
      <c r="N205" s="261"/>
      <c r="O205" s="1537"/>
      <c r="P205" s="1537"/>
    </row>
    <row r="206" spans="1:16" s="1924" customFormat="1" ht="18.75" hidden="1" customHeight="1">
      <c r="A206" s="1692" t="s">
        <v>414</v>
      </c>
      <c r="B206" s="1692" t="s">
        <v>415</v>
      </c>
      <c r="C206" s="298"/>
      <c r="D206" s="4904"/>
      <c r="E206" s="4713"/>
      <c r="F206" s="4848" t="str">
        <f>INDEX(PT_DIFFERENTIATION_VTAR,MATCH(A206,PT_DIFFERENTIATION_VTAR_ID,0))</f>
        <v>Тариф на подключение (технологическое присоединение) к централизованной системе водоотведения</v>
      </c>
      <c r="G206" s="4876" t="str">
        <f>INDEX(PT_DIFFERENTIATION_NTAR,MATCH(B206,PT_DIFFERENTIATION_NTAR_ID,0))</f>
        <v/>
      </c>
      <c r="H206" s="1774"/>
      <c r="I206" s="1650"/>
      <c r="J206" s="1685"/>
      <c r="K206" s="1690"/>
      <c r="L206" s="1774" t="s">
        <v>445</v>
      </c>
      <c r="M206" s="268"/>
      <c r="N206" s="261"/>
      <c r="O206" s="1537"/>
      <c r="P206" s="1537"/>
    </row>
    <row r="207" spans="1:16" s="1924" customFormat="1" ht="18.75" hidden="1" customHeight="1">
      <c r="A207" s="1692"/>
      <c r="B207" s="1692"/>
      <c r="C207" s="298" t="s">
        <v>1196</v>
      </c>
      <c r="D207" s="4904"/>
      <c r="E207" s="4713"/>
      <c r="F207" s="4848"/>
      <c r="G207" s="4876"/>
      <c r="H207" s="1411"/>
      <c r="I207" s="573" t="s">
        <v>1195</v>
      </c>
      <c r="J207" s="497"/>
      <c r="K207" s="1411"/>
      <c r="L207" s="135"/>
      <c r="M207" s="268"/>
      <c r="N207" s="261"/>
      <c r="O207" s="1537"/>
      <c r="P207" s="1537"/>
    </row>
    <row r="208" spans="1:16" s="1924" customFormat="1" ht="0.75" customHeight="1">
      <c r="A208" s="1692"/>
      <c r="B208" s="1692"/>
      <c r="C208" s="298" t="s">
        <v>1203</v>
      </c>
      <c r="D208" s="4904"/>
      <c r="E208" s="4713"/>
      <c r="F208" s="4848"/>
      <c r="G208" s="335"/>
      <c r="H208" s="1411"/>
      <c r="I208" s="573"/>
      <c r="J208" s="497"/>
      <c r="K208" s="1411"/>
      <c r="L208" s="135"/>
      <c r="M208" s="268"/>
      <c r="N208" s="261"/>
      <c r="O208" s="1537"/>
      <c r="P208" s="1537"/>
    </row>
    <row r="209" spans="1:16" ht="18.75" customHeight="1">
      <c r="A209" s="1692"/>
      <c r="B209" s="1692"/>
      <c r="D209" s="306"/>
      <c r="E209" s="71" t="s">
        <v>89</v>
      </c>
      <c r="F209" s="49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209" s="4903"/>
      <c r="H209" s="4903"/>
      <c r="I209" s="4903"/>
      <c r="J209" s="4903"/>
      <c r="K209" s="4903"/>
      <c r="L209" s="4903"/>
      <c r="M209" s="216"/>
      <c r="N209" s="261"/>
    </row>
    <row r="210" spans="1:16" s="1924" customFormat="1" ht="60.75" hidden="1" customHeight="1">
      <c r="A210" s="1692" t="s">
        <v>214</v>
      </c>
      <c r="B210" s="1692" t="s">
        <v>215</v>
      </c>
      <c r="C210" s="298"/>
      <c r="D210" s="4904"/>
      <c r="E210" s="4713"/>
      <c r="F210" s="4848" t="str">
        <f>INDEX(PT_DIFFERENTIATION_VTAR,MATCH(A210,PT_DIFFERENTIATION_VTAR_ID,0))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0" s="4876" t="str">
        <f>INDEX(PT_DIFFERENTIATION_NTAR,MATCH(B210,PT_DIFFERENTIATION_NTAR_ID,0))</f>
        <v/>
      </c>
      <c r="H210" s="1774"/>
      <c r="I210" s="1650"/>
      <c r="J210" s="1685"/>
      <c r="K210" s="1690"/>
      <c r="L210" s="1774" t="s">
        <v>445</v>
      </c>
      <c r="M210" s="46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210" s="261"/>
      <c r="O210" s="1537"/>
      <c r="P210" s="1537"/>
    </row>
    <row r="211" spans="1:16" s="1924" customFormat="1" ht="18.75" hidden="1" customHeight="1">
      <c r="A211" s="1692"/>
      <c r="B211" s="1692"/>
      <c r="C211" s="298" t="s">
        <v>1196</v>
      </c>
      <c r="D211" s="4904"/>
      <c r="E211" s="4713"/>
      <c r="F211" s="4848"/>
      <c r="G211" s="4876"/>
      <c r="H211" s="1411"/>
      <c r="I211" s="573" t="s">
        <v>1195</v>
      </c>
      <c r="J211" s="497"/>
      <c r="K211" s="1411"/>
      <c r="L211" s="135"/>
      <c r="M211" s="4668"/>
      <c r="N211" s="261"/>
      <c r="O211" s="1537"/>
      <c r="P211" s="1537"/>
    </row>
    <row r="212" spans="1:16" s="1924" customFormat="1" ht="0.75" hidden="1" customHeight="1">
      <c r="A212" s="1692"/>
      <c r="B212" s="1692"/>
      <c r="C212" s="298" t="s">
        <v>1203</v>
      </c>
      <c r="D212" s="4904"/>
      <c r="E212" s="4713"/>
      <c r="F212" s="4848"/>
      <c r="G212" s="335"/>
      <c r="H212" s="1411"/>
      <c r="I212" s="573"/>
      <c r="J212" s="497"/>
      <c r="K212" s="1411"/>
      <c r="L212" s="135"/>
      <c r="M212" s="4668"/>
      <c r="N212" s="261"/>
      <c r="O212" s="1537"/>
      <c r="P212" s="1537"/>
    </row>
    <row r="213" spans="1:16" s="1924" customFormat="1" ht="45" hidden="1" customHeight="1">
      <c r="A213" s="1692" t="s">
        <v>220</v>
      </c>
      <c r="B213" s="1692" t="s">
        <v>221</v>
      </c>
      <c r="C213" s="298"/>
      <c r="D213" s="4904"/>
      <c r="E213" s="4713"/>
      <c r="F213" s="4848" t="str">
        <f>INDEX(PT_DIFFERENTIATION_VTAR,MATCH(A213,PT_DIFFERENTIATION_VTAR_ID,0))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3" s="4876" t="str">
        <f>INDEX(PT_DIFFERENTIATION_NTAR,MATCH(B213,PT_DIFFERENTIATION_NTAR_ID,0))</f>
        <v/>
      </c>
      <c r="H213" s="1774"/>
      <c r="I213" s="1650"/>
      <c r="J213" s="1685"/>
      <c r="K213" s="1690"/>
      <c r="L213" s="1774" t="s">
        <v>445</v>
      </c>
      <c r="M213" s="4669"/>
      <c r="N213" s="261"/>
      <c r="O213" s="1537"/>
      <c r="P213" s="1537"/>
    </row>
    <row r="214" spans="1:16" s="1924" customFormat="1" ht="18.75" hidden="1" customHeight="1">
      <c r="A214" s="1692"/>
      <c r="B214" s="1692"/>
      <c r="C214" s="298" t="s">
        <v>1196</v>
      </c>
      <c r="D214" s="4904"/>
      <c r="E214" s="4713"/>
      <c r="F214" s="4848"/>
      <c r="G214" s="4876"/>
      <c r="H214" s="1411"/>
      <c r="I214" s="573" t="s">
        <v>1195</v>
      </c>
      <c r="J214" s="497"/>
      <c r="K214" s="1411"/>
      <c r="L214" s="135"/>
      <c r="M214" s="1773"/>
      <c r="N214" s="261"/>
      <c r="O214" s="1537"/>
      <c r="P214" s="1537"/>
    </row>
    <row r="215" spans="1:16" s="1924" customFormat="1" ht="0.75" hidden="1" customHeight="1">
      <c r="A215" s="1692"/>
      <c r="B215" s="1692"/>
      <c r="C215" s="298" t="s">
        <v>1203</v>
      </c>
      <c r="D215" s="4904"/>
      <c r="E215" s="4713"/>
      <c r="F215" s="4848"/>
      <c r="G215" s="335"/>
      <c r="H215" s="1411"/>
      <c r="I215" s="573"/>
      <c r="J215" s="497"/>
      <c r="K215" s="1411"/>
      <c r="L215" s="135"/>
      <c r="M215" s="268"/>
      <c r="N215" s="261"/>
      <c r="O215" s="1537"/>
      <c r="P215" s="1537"/>
    </row>
    <row r="216" spans="1:16" s="1924" customFormat="1" ht="45" hidden="1" customHeight="1">
      <c r="A216" s="1692" t="s">
        <v>226</v>
      </c>
      <c r="B216" s="1692" t="s">
        <v>227</v>
      </c>
      <c r="C216" s="298"/>
      <c r="D216" s="4904"/>
      <c r="E216" s="4713"/>
      <c r="F216" s="4848" t="str">
        <f>INDEX(PT_DIFFERENTIATION_VTAR,MATCH(A216,PT_DIFFERENTIATION_VTAR_ID,0))</f>
        <v>Тарифы на теплоноситель, поставляемый теплоснабжающими организациями потребителям, другим теплоснабжающим организациям</v>
      </c>
      <c r="G216" s="4876" t="str">
        <f>INDEX(PT_DIFFERENTIATION_NTAR,MATCH(B216,PT_DIFFERENTIATION_NTAR_ID,0))</f>
        <v/>
      </c>
      <c r="H216" s="1774"/>
      <c r="I216" s="1650"/>
      <c r="J216" s="1685"/>
      <c r="K216" s="1690"/>
      <c r="L216" s="1774" t="s">
        <v>445</v>
      </c>
      <c r="M216" s="268"/>
      <c r="N216" s="261"/>
      <c r="O216" s="1537"/>
      <c r="P216" s="1537"/>
    </row>
    <row r="217" spans="1:16" s="1924" customFormat="1" ht="18.75" hidden="1" customHeight="1">
      <c r="A217" s="1692"/>
      <c r="B217" s="1692"/>
      <c r="C217" s="298" t="s">
        <v>1196</v>
      </c>
      <c r="D217" s="4904"/>
      <c r="E217" s="4713"/>
      <c r="F217" s="4848"/>
      <c r="G217" s="4876"/>
      <c r="H217" s="1411"/>
      <c r="I217" s="573" t="s">
        <v>1195</v>
      </c>
      <c r="J217" s="497"/>
      <c r="K217" s="1411"/>
      <c r="L217" s="135"/>
      <c r="M217" s="268"/>
      <c r="N217" s="261"/>
      <c r="O217" s="1537"/>
      <c r="P217" s="1537"/>
    </row>
    <row r="218" spans="1:16" s="1924" customFormat="1" ht="0.75" hidden="1" customHeight="1">
      <c r="A218" s="1692"/>
      <c r="B218" s="1692"/>
      <c r="C218" s="298" t="s">
        <v>1203</v>
      </c>
      <c r="D218" s="4904"/>
      <c r="E218" s="4713"/>
      <c r="F218" s="4848"/>
      <c r="G218" s="335"/>
      <c r="H218" s="1411"/>
      <c r="I218" s="573"/>
      <c r="J218" s="497"/>
      <c r="K218" s="1411"/>
      <c r="L218" s="135"/>
      <c r="M218" s="268"/>
      <c r="N218" s="261"/>
      <c r="O218" s="1537"/>
      <c r="P218" s="1537"/>
    </row>
    <row r="219" spans="1:16" s="1924" customFormat="1" ht="45" hidden="1" customHeight="1">
      <c r="A219" s="1692" t="s">
        <v>232</v>
      </c>
      <c r="B219" s="1692" t="s">
        <v>233</v>
      </c>
      <c r="C219" s="298"/>
      <c r="D219" s="4904"/>
      <c r="E219" s="4713"/>
      <c r="F219" s="4848" t="str">
        <f>INDEX(PT_DIFFERENTIATION_VTAR,MATCH(A219,PT_DIFFERENTIATION_VTAR_ID,0))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9" s="4876" t="str">
        <f>INDEX(PT_DIFFERENTIATION_NTAR,MATCH(B219,PT_DIFFERENTIATION_NTAR_ID,0))</f>
        <v/>
      </c>
      <c r="H219" s="1774"/>
      <c r="I219" s="1650"/>
      <c r="J219" s="1685"/>
      <c r="K219" s="1690"/>
      <c r="L219" s="1774" t="s">
        <v>445</v>
      </c>
      <c r="M219" s="268"/>
      <c r="N219" s="261"/>
      <c r="O219" s="1537"/>
      <c r="P219" s="1537"/>
    </row>
    <row r="220" spans="1:16" s="1924" customFormat="1" ht="18.75" hidden="1" customHeight="1">
      <c r="A220" s="1692"/>
      <c r="B220" s="1692"/>
      <c r="C220" s="298" t="s">
        <v>1196</v>
      </c>
      <c r="D220" s="4904"/>
      <c r="E220" s="4713"/>
      <c r="F220" s="4848"/>
      <c r="G220" s="4876"/>
      <c r="H220" s="1411"/>
      <c r="I220" s="573" t="s">
        <v>1195</v>
      </c>
      <c r="J220" s="497"/>
      <c r="K220" s="1411"/>
      <c r="L220" s="135"/>
      <c r="M220" s="268"/>
      <c r="N220" s="261"/>
      <c r="O220" s="1537"/>
      <c r="P220" s="1537"/>
    </row>
    <row r="221" spans="1:16" s="1924" customFormat="1" ht="0.75" hidden="1" customHeight="1">
      <c r="A221" s="1692"/>
      <c r="B221" s="1692"/>
      <c r="C221" s="298" t="s">
        <v>1203</v>
      </c>
      <c r="D221" s="4904"/>
      <c r="E221" s="4713"/>
      <c r="F221" s="4848"/>
      <c r="G221" s="335"/>
      <c r="H221" s="1411"/>
      <c r="I221" s="573"/>
      <c r="J221" s="497"/>
      <c r="K221" s="1411"/>
      <c r="L221" s="135"/>
      <c r="M221" s="268"/>
      <c r="N221" s="261"/>
      <c r="O221" s="1537"/>
      <c r="P221" s="1537"/>
    </row>
    <row r="222" spans="1:16" s="1924" customFormat="1" ht="18.75" hidden="1" customHeight="1">
      <c r="A222" s="1692" t="s">
        <v>238</v>
      </c>
      <c r="B222" s="1692" t="s">
        <v>239</v>
      </c>
      <c r="C222" s="298"/>
      <c r="D222" s="4904"/>
      <c r="E222" s="4713"/>
      <c r="F222" s="4848" t="str">
        <f>INDEX(PT_DIFFERENTIATION_VTAR,MATCH(A222,PT_DIFFERENTIATION_VTAR_ID,0))</f>
        <v>Тарифы на услуги по передаче тепловой энергии</v>
      </c>
      <c r="G222" s="4876" t="str">
        <f>INDEX(PT_DIFFERENTIATION_NTAR,MATCH(B222,PT_DIFFERENTIATION_NTAR_ID,0))</f>
        <v/>
      </c>
      <c r="H222" s="1774"/>
      <c r="I222" s="1650"/>
      <c r="J222" s="1685"/>
      <c r="K222" s="1690"/>
      <c r="L222" s="1774" t="s">
        <v>445</v>
      </c>
      <c r="M222" s="268"/>
      <c r="N222" s="261"/>
      <c r="O222" s="1537"/>
      <c r="P222" s="1537"/>
    </row>
    <row r="223" spans="1:16" s="1924" customFormat="1" ht="18.75" hidden="1" customHeight="1">
      <c r="A223" s="1692"/>
      <c r="B223" s="1692"/>
      <c r="C223" s="298" t="s">
        <v>1196</v>
      </c>
      <c r="D223" s="4904"/>
      <c r="E223" s="4713"/>
      <c r="F223" s="4848"/>
      <c r="G223" s="4876"/>
      <c r="H223" s="1411"/>
      <c r="I223" s="573" t="s">
        <v>1195</v>
      </c>
      <c r="J223" s="497"/>
      <c r="K223" s="1411"/>
      <c r="L223" s="135"/>
      <c r="M223" s="268"/>
      <c r="N223" s="261"/>
      <c r="O223" s="1537"/>
      <c r="P223" s="1537"/>
    </row>
    <row r="224" spans="1:16" s="1924" customFormat="1" ht="0.75" hidden="1" customHeight="1">
      <c r="A224" s="1692"/>
      <c r="B224" s="1692"/>
      <c r="C224" s="298" t="s">
        <v>1203</v>
      </c>
      <c r="D224" s="4904"/>
      <c r="E224" s="4713"/>
      <c r="F224" s="4848"/>
      <c r="G224" s="335"/>
      <c r="H224" s="1411"/>
      <c r="I224" s="573"/>
      <c r="J224" s="497"/>
      <c r="K224" s="1411"/>
      <c r="L224" s="135"/>
      <c r="M224" s="268"/>
      <c r="N224" s="261"/>
      <c r="O224" s="1537"/>
      <c r="P224" s="1537"/>
    </row>
    <row r="225" spans="1:16" s="1924" customFormat="1" ht="18.75" hidden="1" customHeight="1">
      <c r="A225" s="1692" t="s">
        <v>244</v>
      </c>
      <c r="B225" s="1692" t="s">
        <v>245</v>
      </c>
      <c r="C225" s="298"/>
      <c r="D225" s="4904"/>
      <c r="E225" s="4713"/>
      <c r="F225" s="4848" t="str">
        <f>INDEX(PT_DIFFERENTIATION_VTAR,MATCH(A225,PT_DIFFERENTIATION_VTAR_ID,0))</f>
        <v>Тарифы на услуги по передаче теплоносителя</v>
      </c>
      <c r="G225" s="4876" t="str">
        <f>INDEX(PT_DIFFERENTIATION_NTAR,MATCH(B225,PT_DIFFERENTIATION_NTAR_ID,0))</f>
        <v/>
      </c>
      <c r="H225" s="1774"/>
      <c r="I225" s="1650"/>
      <c r="J225" s="1685"/>
      <c r="K225" s="1690"/>
      <c r="L225" s="1774" t="s">
        <v>445</v>
      </c>
      <c r="M225" s="268"/>
      <c r="N225" s="261"/>
      <c r="O225" s="1537"/>
      <c r="P225" s="1537"/>
    </row>
    <row r="226" spans="1:16" s="1924" customFormat="1" ht="18.75" hidden="1" customHeight="1">
      <c r="A226" s="1692"/>
      <c r="B226" s="1692"/>
      <c r="C226" s="298" t="s">
        <v>1196</v>
      </c>
      <c r="D226" s="4904"/>
      <c r="E226" s="4713"/>
      <c r="F226" s="4848"/>
      <c r="G226" s="4876"/>
      <c r="H226" s="1411"/>
      <c r="I226" s="573" t="s">
        <v>1195</v>
      </c>
      <c r="J226" s="497"/>
      <c r="K226" s="1411"/>
      <c r="L226" s="135"/>
      <c r="M226" s="268"/>
      <c r="N226" s="261"/>
      <c r="O226" s="1537"/>
      <c r="P226" s="1537"/>
    </row>
    <row r="227" spans="1:16" s="1924" customFormat="1" ht="0.75" hidden="1" customHeight="1">
      <c r="A227" s="1692"/>
      <c r="B227" s="1692"/>
      <c r="C227" s="298" t="s">
        <v>1203</v>
      </c>
      <c r="D227" s="4904"/>
      <c r="E227" s="4713"/>
      <c r="F227" s="4848"/>
      <c r="G227" s="335"/>
      <c r="H227" s="1411"/>
      <c r="I227" s="573"/>
      <c r="J227" s="497"/>
      <c r="K227" s="1411"/>
      <c r="L227" s="135"/>
      <c r="M227" s="268"/>
      <c r="N227" s="261"/>
      <c r="O227" s="1537"/>
      <c r="P227" s="1537"/>
    </row>
    <row r="228" spans="1:16" s="1924" customFormat="1" ht="18.75" hidden="1" customHeight="1">
      <c r="A228" s="1692" t="s">
        <v>250</v>
      </c>
      <c r="B228" s="1692" t="s">
        <v>251</v>
      </c>
      <c r="C228" s="298"/>
      <c r="D228" s="4904"/>
      <c r="E228" s="4713"/>
      <c r="F228" s="4848" t="str">
        <f>INDEX(PT_DIFFERENTIATION_VTAR,MATCH(A228,PT_DIFFERENTIATION_VTAR_ID,0))</f>
        <v>Плата за услуги по поддержанию резервной тепловой мощности при отсутствии потребления тепловой энергии</v>
      </c>
      <c r="G228" s="4876" t="str">
        <f>INDEX(PT_DIFFERENTIATION_NTAR,MATCH(B228,PT_DIFFERENTIATION_NTAR_ID,0))</f>
        <v/>
      </c>
      <c r="H228" s="1774"/>
      <c r="I228" s="1650"/>
      <c r="J228" s="1685"/>
      <c r="K228" s="1690"/>
      <c r="L228" s="1774" t="s">
        <v>445</v>
      </c>
      <c r="M228" s="268"/>
      <c r="N228" s="261"/>
      <c r="O228" s="1537"/>
      <c r="P228" s="1537"/>
    </row>
    <row r="229" spans="1:16" s="1924" customFormat="1" ht="18.75" hidden="1" customHeight="1">
      <c r="A229" s="1692"/>
      <c r="B229" s="1692"/>
      <c r="C229" s="298" t="s">
        <v>1196</v>
      </c>
      <c r="D229" s="4904"/>
      <c r="E229" s="4713"/>
      <c r="F229" s="4848"/>
      <c r="G229" s="4876"/>
      <c r="H229" s="1411"/>
      <c r="I229" s="573" t="s">
        <v>1195</v>
      </c>
      <c r="J229" s="497"/>
      <c r="K229" s="1411"/>
      <c r="L229" s="135"/>
      <c r="M229" s="268"/>
      <c r="N229" s="261"/>
      <c r="O229" s="1537"/>
      <c r="P229" s="1537"/>
    </row>
    <row r="230" spans="1:16" s="1924" customFormat="1" ht="0.75" hidden="1" customHeight="1">
      <c r="A230" s="1692"/>
      <c r="B230" s="1692"/>
      <c r="C230" s="298" t="s">
        <v>1203</v>
      </c>
      <c r="D230" s="4904"/>
      <c r="E230" s="4713"/>
      <c r="F230" s="4848"/>
      <c r="G230" s="335"/>
      <c r="H230" s="1411"/>
      <c r="I230" s="573"/>
      <c r="J230" s="497"/>
      <c r="K230" s="1411"/>
      <c r="L230" s="135"/>
      <c r="M230" s="268"/>
      <c r="N230" s="261"/>
      <c r="O230" s="1537"/>
      <c r="P230" s="1537"/>
    </row>
    <row r="231" spans="1:16" s="1924" customFormat="1" ht="18.75" hidden="1" customHeight="1">
      <c r="A231" s="1692" t="s">
        <v>256</v>
      </c>
      <c r="B231" s="1692" t="s">
        <v>257</v>
      </c>
      <c r="C231" s="298"/>
      <c r="D231" s="4904"/>
      <c r="E231" s="4713"/>
      <c r="F231" s="4848" t="str">
        <f>INDEX(PT_DIFFERENTIATION_VTAR,MATCH(A231,PT_DIFFERENTIATION_VTAR_ID,0))</f>
        <v>Плата за подключение (технологическое присоединение) к системе теплоснабжения</v>
      </c>
      <c r="G231" s="4876" t="str">
        <f>INDEX(PT_DIFFERENTIATION_NTAR,MATCH(B231,PT_DIFFERENTIATION_NTAR_ID,0))</f>
        <v/>
      </c>
      <c r="H231" s="1774"/>
      <c r="I231" s="1650"/>
      <c r="J231" s="1685"/>
      <c r="K231" s="1690"/>
      <c r="L231" s="1774" t="s">
        <v>445</v>
      </c>
      <c r="M231" s="268"/>
      <c r="N231" s="261"/>
      <c r="O231" s="1537"/>
      <c r="P231" s="1537"/>
    </row>
    <row r="232" spans="1:16" s="1924" customFormat="1" ht="18.75" hidden="1" customHeight="1">
      <c r="A232" s="1692"/>
      <c r="B232" s="1692"/>
      <c r="C232" s="298" t="s">
        <v>1196</v>
      </c>
      <c r="D232" s="4904"/>
      <c r="E232" s="4713"/>
      <c r="F232" s="4848"/>
      <c r="G232" s="4876"/>
      <c r="H232" s="1411"/>
      <c r="I232" s="573" t="s">
        <v>1195</v>
      </c>
      <c r="J232" s="497"/>
      <c r="K232" s="1411"/>
      <c r="L232" s="135"/>
      <c r="M232" s="268"/>
      <c r="N232" s="261"/>
      <c r="O232" s="1537"/>
      <c r="P232" s="1537"/>
    </row>
    <row r="233" spans="1:16" s="1924" customFormat="1" ht="0.75" hidden="1" customHeight="1">
      <c r="A233" s="1692"/>
      <c r="B233" s="1692"/>
      <c r="C233" s="298" t="s">
        <v>1203</v>
      </c>
      <c r="D233" s="4904"/>
      <c r="E233" s="4713"/>
      <c r="F233" s="4848"/>
      <c r="G233" s="335"/>
      <c r="H233" s="1411"/>
      <c r="I233" s="573"/>
      <c r="J233" s="497"/>
      <c r="K233" s="1411"/>
      <c r="L233" s="135"/>
      <c r="M233" s="268"/>
      <c r="N233" s="261"/>
      <c r="O233" s="1537"/>
      <c r="P233" s="1537"/>
    </row>
    <row r="234" spans="1:16" s="1924" customFormat="1" ht="18.75" hidden="1" customHeight="1">
      <c r="A234" s="1692" t="s">
        <v>270</v>
      </c>
      <c r="B234" s="1692" t="s">
        <v>271</v>
      </c>
      <c r="C234" s="298"/>
      <c r="D234" s="4904"/>
      <c r="E234" s="4713"/>
      <c r="F234" s="4848" t="str">
        <f>INDEX(PT_DIFFERENTIATION_VTAR,MATCH(A234,PT_DIFFERENTIATION_VTAR_ID,0))</f>
        <v>Тариф на питьевую воду (питьевое водоснабжение)</v>
      </c>
      <c r="G234" s="4876" t="str">
        <f>INDEX(PT_DIFFERENTIATION_NTAR,MATCH(B234,PT_DIFFERENTIATION_NTAR_ID,0))</f>
        <v/>
      </c>
      <c r="H234" s="1774"/>
      <c r="I234" s="1650"/>
      <c r="J234" s="1685"/>
      <c r="K234" s="1690"/>
      <c r="L234" s="1774" t="s">
        <v>445</v>
      </c>
      <c r="M234" s="268"/>
      <c r="N234" s="261"/>
      <c r="O234" s="1537"/>
      <c r="P234" s="1537"/>
    </row>
    <row r="235" spans="1:16" s="1924" customFormat="1" ht="18.75" hidden="1" customHeight="1">
      <c r="A235" s="1692"/>
      <c r="B235" s="1692"/>
      <c r="C235" s="298" t="s">
        <v>1196</v>
      </c>
      <c r="D235" s="4904"/>
      <c r="E235" s="4713"/>
      <c r="F235" s="4848"/>
      <c r="G235" s="4876"/>
      <c r="H235" s="1411"/>
      <c r="I235" s="573" t="s">
        <v>1195</v>
      </c>
      <c r="J235" s="497"/>
      <c r="K235" s="1411"/>
      <c r="L235" s="135"/>
      <c r="M235" s="268"/>
      <c r="N235" s="261"/>
      <c r="O235" s="1537"/>
      <c r="P235" s="1537"/>
    </row>
    <row r="236" spans="1:16" s="1924" customFormat="1" ht="0.75" hidden="1" customHeight="1">
      <c r="A236" s="1692"/>
      <c r="B236" s="1692"/>
      <c r="C236" s="298" t="s">
        <v>1203</v>
      </c>
      <c r="D236" s="4904"/>
      <c r="E236" s="4713"/>
      <c r="F236" s="4848"/>
      <c r="G236" s="335"/>
      <c r="H236" s="1411"/>
      <c r="I236" s="573"/>
      <c r="J236" s="497"/>
      <c r="K236" s="1411"/>
      <c r="L236" s="135"/>
      <c r="M236" s="268"/>
      <c r="N236" s="261"/>
      <c r="O236" s="1537"/>
      <c r="P236" s="1537"/>
    </row>
    <row r="237" spans="1:16" s="1924" customFormat="1" ht="18.75" hidden="1" customHeight="1">
      <c r="A237" s="1692" t="s">
        <v>275</v>
      </c>
      <c r="B237" s="1692" t="s">
        <v>276</v>
      </c>
      <c r="C237" s="298"/>
      <c r="D237" s="4904"/>
      <c r="E237" s="4713"/>
      <c r="F237" s="4848" t="str">
        <f>INDEX(PT_DIFFERENTIATION_VTAR,MATCH(A237,PT_DIFFERENTIATION_VTAR_ID,0))</f>
        <v>Тариф на техническую воду</v>
      </c>
      <c r="G237" s="4876" t="str">
        <f>INDEX(PT_DIFFERENTIATION_NTAR,MATCH(B237,PT_DIFFERENTIATION_NTAR_ID,0))</f>
        <v/>
      </c>
      <c r="H237" s="1774"/>
      <c r="I237" s="1650"/>
      <c r="J237" s="1685"/>
      <c r="K237" s="1690"/>
      <c r="L237" s="1774" t="s">
        <v>445</v>
      </c>
      <c r="M237" s="268"/>
      <c r="N237" s="261"/>
      <c r="O237" s="1537"/>
      <c r="P237" s="1537"/>
    </row>
    <row r="238" spans="1:16" s="1924" customFormat="1" ht="18.75" hidden="1" customHeight="1">
      <c r="A238" s="1692"/>
      <c r="B238" s="1692"/>
      <c r="C238" s="298" t="s">
        <v>1196</v>
      </c>
      <c r="D238" s="4904"/>
      <c r="E238" s="4713"/>
      <c r="F238" s="4848"/>
      <c r="G238" s="4876"/>
      <c r="H238" s="1411"/>
      <c r="I238" s="573" t="s">
        <v>1195</v>
      </c>
      <c r="J238" s="497"/>
      <c r="K238" s="1411"/>
      <c r="L238" s="135"/>
      <c r="M238" s="268"/>
      <c r="N238" s="261"/>
      <c r="O238" s="1537"/>
      <c r="P238" s="1537"/>
    </row>
    <row r="239" spans="1:16" s="1924" customFormat="1" ht="0.75" hidden="1" customHeight="1">
      <c r="A239" s="1692"/>
      <c r="B239" s="1692"/>
      <c r="C239" s="298" t="s">
        <v>1203</v>
      </c>
      <c r="D239" s="4904"/>
      <c r="E239" s="4713"/>
      <c r="F239" s="4848"/>
      <c r="G239" s="335"/>
      <c r="H239" s="1411"/>
      <c r="I239" s="573"/>
      <c r="J239" s="497"/>
      <c r="K239" s="1411"/>
      <c r="L239" s="135"/>
      <c r="M239" s="268"/>
      <c r="N239" s="261"/>
      <c r="O239" s="1537"/>
      <c r="P239" s="1537"/>
    </row>
    <row r="240" spans="1:16" s="1924" customFormat="1" ht="18.75" hidden="1" customHeight="1">
      <c r="A240" s="1692" t="s">
        <v>280</v>
      </c>
      <c r="B240" s="1692" t="s">
        <v>281</v>
      </c>
      <c r="C240" s="298"/>
      <c r="D240" s="4904"/>
      <c r="E240" s="4713"/>
      <c r="F240" s="4848" t="str">
        <f>INDEX(PT_DIFFERENTIATION_VTAR,MATCH(A240,PT_DIFFERENTIATION_VTAR_ID,0))</f>
        <v>Тариф на транспортировку воды</v>
      </c>
      <c r="G240" s="4876" t="str">
        <f>INDEX(PT_DIFFERENTIATION_NTAR,MATCH(B240,PT_DIFFERENTIATION_NTAR_ID,0))</f>
        <v/>
      </c>
      <c r="H240" s="1774"/>
      <c r="I240" s="1650"/>
      <c r="J240" s="1685"/>
      <c r="K240" s="1690"/>
      <c r="L240" s="1774" t="s">
        <v>445</v>
      </c>
      <c r="M240" s="268"/>
      <c r="N240" s="261"/>
      <c r="O240" s="1537"/>
      <c r="P240" s="1537"/>
    </row>
    <row r="241" spans="1:16" s="1924" customFormat="1" ht="18.75" hidden="1" customHeight="1">
      <c r="A241" s="1692"/>
      <c r="B241" s="1692"/>
      <c r="C241" s="298" t="s">
        <v>1196</v>
      </c>
      <c r="D241" s="4904"/>
      <c r="E241" s="4713"/>
      <c r="F241" s="4848"/>
      <c r="G241" s="4876"/>
      <c r="H241" s="1411"/>
      <c r="I241" s="573" t="s">
        <v>1195</v>
      </c>
      <c r="J241" s="497"/>
      <c r="K241" s="1411"/>
      <c r="L241" s="135"/>
      <c r="M241" s="268"/>
      <c r="N241" s="261"/>
      <c r="O241" s="1537"/>
      <c r="P241" s="1537"/>
    </row>
    <row r="242" spans="1:16" s="1924" customFormat="1" ht="0.75" hidden="1" customHeight="1">
      <c r="A242" s="1692"/>
      <c r="B242" s="1692"/>
      <c r="C242" s="298" t="s">
        <v>1203</v>
      </c>
      <c r="D242" s="4904"/>
      <c r="E242" s="4713"/>
      <c r="F242" s="4848"/>
      <c r="G242" s="335"/>
      <c r="H242" s="1411"/>
      <c r="I242" s="573"/>
      <c r="J242" s="497"/>
      <c r="K242" s="1411"/>
      <c r="L242" s="135"/>
      <c r="M242" s="268"/>
      <c r="N242" s="261"/>
      <c r="O242" s="1537"/>
      <c r="P242" s="1537"/>
    </row>
    <row r="243" spans="1:16" s="1924" customFormat="1" ht="18.75" hidden="1" customHeight="1">
      <c r="A243" s="1692" t="s">
        <v>285</v>
      </c>
      <c r="B243" s="1692" t="s">
        <v>286</v>
      </c>
      <c r="C243" s="298"/>
      <c r="D243" s="4904"/>
      <c r="E243" s="4713"/>
      <c r="F243" s="4848" t="str">
        <f>INDEX(PT_DIFFERENTIATION_VTAR,MATCH(A243,PT_DIFFERENTIATION_VTAR_ID,0))</f>
        <v>Тариф на подвоз воды</v>
      </c>
      <c r="G243" s="4876" t="str">
        <f>INDEX(PT_DIFFERENTIATION_NTAR,MATCH(B243,PT_DIFFERENTIATION_NTAR_ID,0))</f>
        <v/>
      </c>
      <c r="H243" s="1774"/>
      <c r="I243" s="1650"/>
      <c r="J243" s="1685"/>
      <c r="K243" s="1690"/>
      <c r="L243" s="1774" t="s">
        <v>445</v>
      </c>
      <c r="M243" s="268"/>
      <c r="N243" s="261"/>
      <c r="O243" s="1537"/>
      <c r="P243" s="1537"/>
    </row>
    <row r="244" spans="1:16" s="1924" customFormat="1" ht="18.75" hidden="1" customHeight="1">
      <c r="A244" s="1692"/>
      <c r="B244" s="1692"/>
      <c r="C244" s="298" t="s">
        <v>1196</v>
      </c>
      <c r="D244" s="4904"/>
      <c r="E244" s="4713"/>
      <c r="F244" s="4848"/>
      <c r="G244" s="4876"/>
      <c r="H244" s="1411"/>
      <c r="I244" s="573" t="s">
        <v>1195</v>
      </c>
      <c r="J244" s="497"/>
      <c r="K244" s="1411"/>
      <c r="L244" s="135"/>
      <c r="M244" s="268"/>
      <c r="N244" s="261"/>
      <c r="O244" s="1537"/>
      <c r="P244" s="1537"/>
    </row>
    <row r="245" spans="1:16" s="1924" customFormat="1" ht="0.75" hidden="1" customHeight="1">
      <c r="A245" s="1692"/>
      <c r="B245" s="1692"/>
      <c r="C245" s="298" t="s">
        <v>1203</v>
      </c>
      <c r="D245" s="4904"/>
      <c r="E245" s="4713"/>
      <c r="F245" s="4848"/>
      <c r="G245" s="335"/>
      <c r="H245" s="1411"/>
      <c r="I245" s="573"/>
      <c r="J245" s="497"/>
      <c r="K245" s="1411"/>
      <c r="L245" s="135"/>
      <c r="M245" s="268"/>
      <c r="N245" s="261"/>
      <c r="O245" s="1537"/>
      <c r="P245" s="1537"/>
    </row>
    <row r="246" spans="1:16" s="1924" customFormat="1" ht="18.75" hidden="1" customHeight="1">
      <c r="A246" s="1692" t="s">
        <v>290</v>
      </c>
      <c r="B246" s="1692" t="s">
        <v>291</v>
      </c>
      <c r="C246" s="298"/>
      <c r="D246" s="4904"/>
      <c r="E246" s="4713"/>
      <c r="F246" s="4848" t="str">
        <f>INDEX(PT_DIFFERENTIATION_VTAR,MATCH(A246,PT_DIFFERENTIATION_VTAR_ID,0))</f>
        <v>Тариф на подключение (технологическое присоединение) к централизованной системе холодного водоснабжения</v>
      </c>
      <c r="G246" s="4876" t="str">
        <f>INDEX(PT_DIFFERENTIATION_NTAR,MATCH(B246,PT_DIFFERENTIATION_NTAR_ID,0))</f>
        <v/>
      </c>
      <c r="H246" s="1774"/>
      <c r="I246" s="1650"/>
      <c r="J246" s="1685"/>
      <c r="K246" s="1690"/>
      <c r="L246" s="1774" t="s">
        <v>445</v>
      </c>
      <c r="M246" s="268"/>
      <c r="N246" s="261"/>
      <c r="O246" s="1537"/>
      <c r="P246" s="1537"/>
    </row>
    <row r="247" spans="1:16" s="1924" customFormat="1" ht="18.75" hidden="1" customHeight="1">
      <c r="A247" s="1692"/>
      <c r="B247" s="1692"/>
      <c r="C247" s="298" t="s">
        <v>1196</v>
      </c>
      <c r="D247" s="4904"/>
      <c r="E247" s="4713"/>
      <c r="F247" s="4848"/>
      <c r="G247" s="4876"/>
      <c r="H247" s="1411"/>
      <c r="I247" s="573" t="s">
        <v>1195</v>
      </c>
      <c r="J247" s="497"/>
      <c r="K247" s="1411"/>
      <c r="L247" s="135"/>
      <c r="M247" s="268"/>
      <c r="N247" s="261"/>
      <c r="O247" s="1537"/>
      <c r="P247" s="1537"/>
    </row>
    <row r="248" spans="1:16" s="1924" customFormat="1" ht="0.75" hidden="1" customHeight="1">
      <c r="A248" s="1692"/>
      <c r="B248" s="1692"/>
      <c r="C248" s="298" t="s">
        <v>1203</v>
      </c>
      <c r="D248" s="4904"/>
      <c r="E248" s="4713"/>
      <c r="F248" s="4848"/>
      <c r="G248" s="335"/>
      <c r="H248" s="1411"/>
      <c r="I248" s="573"/>
      <c r="J248" s="497"/>
      <c r="K248" s="1411"/>
      <c r="L248" s="135"/>
      <c r="M248" s="268"/>
      <c r="N248" s="261"/>
      <c r="O248" s="1537"/>
      <c r="P248" s="1537"/>
    </row>
    <row r="249" spans="1:16" s="1924" customFormat="1" ht="18.75" hidden="1" customHeight="1">
      <c r="A249" s="1692" t="s">
        <v>295</v>
      </c>
      <c r="B249" s="1692" t="s">
        <v>296</v>
      </c>
      <c r="C249" s="298"/>
      <c r="D249" s="4904"/>
      <c r="E249" s="4713"/>
      <c r="F249" s="4848" t="str">
        <f>INDEX(PT_DIFFERENTIATION_VTAR,MATCH(A249,PT_DIFFERENTIATION_VTAR_ID,0))</f>
        <v>Тариф на горячую воду (горячее водоснабжение)</v>
      </c>
      <c r="G249" s="4876" t="str">
        <f>INDEX(PT_DIFFERENTIATION_NTAR,MATCH(B249,PT_DIFFERENTIATION_NTAR_ID,0))</f>
        <v/>
      </c>
      <c r="H249" s="1774"/>
      <c r="I249" s="1650"/>
      <c r="J249" s="1685"/>
      <c r="K249" s="1690"/>
      <c r="L249" s="1774" t="s">
        <v>445</v>
      </c>
      <c r="M249" s="268"/>
      <c r="N249" s="261"/>
      <c r="O249" s="1537"/>
      <c r="P249" s="1537"/>
    </row>
    <row r="250" spans="1:16" s="1924" customFormat="1" ht="18.75" hidden="1" customHeight="1">
      <c r="A250" s="1692"/>
      <c r="B250" s="1692"/>
      <c r="C250" s="298" t="s">
        <v>1196</v>
      </c>
      <c r="D250" s="4904"/>
      <c r="E250" s="4713"/>
      <c r="F250" s="4848"/>
      <c r="G250" s="4876"/>
      <c r="H250" s="1411"/>
      <c r="I250" s="573" t="s">
        <v>1195</v>
      </c>
      <c r="J250" s="497"/>
      <c r="K250" s="1411"/>
      <c r="L250" s="135"/>
      <c r="M250" s="268"/>
      <c r="N250" s="261"/>
      <c r="O250" s="1537"/>
      <c r="P250" s="1537"/>
    </row>
    <row r="251" spans="1:16" s="1924" customFormat="1" ht="0.75" hidden="1" customHeight="1">
      <c r="A251" s="1692"/>
      <c r="B251" s="1692"/>
      <c r="C251" s="298" t="s">
        <v>1203</v>
      </c>
      <c r="D251" s="4904"/>
      <c r="E251" s="4713"/>
      <c r="F251" s="4848"/>
      <c r="G251" s="335"/>
      <c r="H251" s="1411"/>
      <c r="I251" s="573"/>
      <c r="J251" s="497"/>
      <c r="K251" s="1411"/>
      <c r="L251" s="135"/>
      <c r="M251" s="268"/>
      <c r="N251" s="261"/>
      <c r="O251" s="1537"/>
      <c r="P251" s="1537"/>
    </row>
    <row r="252" spans="1:16" s="1924" customFormat="1" ht="18.75" hidden="1" customHeight="1">
      <c r="A252" s="1692" t="s">
        <v>300</v>
      </c>
      <c r="B252" s="1692" t="s">
        <v>301</v>
      </c>
      <c r="C252" s="298"/>
      <c r="D252" s="4904"/>
      <c r="E252" s="4713"/>
      <c r="F252" s="4848" t="str">
        <f>INDEX(PT_DIFFERENTIATION_VTAR,MATCH(A252,PT_DIFFERENTIATION_VTAR_ID,0))</f>
        <v>Тариф на транспортировку горячей воды</v>
      </c>
      <c r="G252" s="4876" t="str">
        <f>INDEX(PT_DIFFERENTIATION_NTAR,MATCH(B252,PT_DIFFERENTIATION_NTAR_ID,0))</f>
        <v/>
      </c>
      <c r="H252" s="1774"/>
      <c r="I252" s="1650"/>
      <c r="J252" s="1685"/>
      <c r="K252" s="1690"/>
      <c r="L252" s="1774" t="s">
        <v>445</v>
      </c>
      <c r="M252" s="268"/>
      <c r="N252" s="261"/>
      <c r="O252" s="1537"/>
      <c r="P252" s="1537"/>
    </row>
    <row r="253" spans="1:16" s="1924" customFormat="1" ht="18.75" hidden="1" customHeight="1">
      <c r="A253" s="1692"/>
      <c r="B253" s="1692"/>
      <c r="C253" s="298" t="s">
        <v>1196</v>
      </c>
      <c r="D253" s="4904"/>
      <c r="E253" s="4713"/>
      <c r="F253" s="4848"/>
      <c r="G253" s="4876"/>
      <c r="H253" s="1411"/>
      <c r="I253" s="573" t="s">
        <v>1195</v>
      </c>
      <c r="J253" s="497"/>
      <c r="K253" s="1411"/>
      <c r="L253" s="135"/>
      <c r="M253" s="268"/>
      <c r="N253" s="261"/>
      <c r="O253" s="1537"/>
      <c r="P253" s="1537"/>
    </row>
    <row r="254" spans="1:16" s="1924" customFormat="1" ht="0.75" hidden="1" customHeight="1">
      <c r="A254" s="1692"/>
      <c r="B254" s="1692"/>
      <c r="C254" s="298" t="s">
        <v>1203</v>
      </c>
      <c r="D254" s="4904"/>
      <c r="E254" s="4713"/>
      <c r="F254" s="4848"/>
      <c r="G254" s="335"/>
      <c r="H254" s="1411"/>
      <c r="I254" s="573"/>
      <c r="J254" s="497"/>
      <c r="K254" s="1411"/>
      <c r="L254" s="135"/>
      <c r="M254" s="268"/>
      <c r="N254" s="261"/>
      <c r="O254" s="1537"/>
      <c r="P254" s="1537"/>
    </row>
    <row r="255" spans="1:16" s="1924" customFormat="1" ht="18.75" hidden="1" customHeight="1">
      <c r="A255" s="1692" t="s">
        <v>305</v>
      </c>
      <c r="B255" s="1692" t="s">
        <v>306</v>
      </c>
      <c r="C255" s="298"/>
      <c r="D255" s="4904"/>
      <c r="E255" s="4713"/>
      <c r="F255" s="4848" t="str">
        <f>INDEX(PT_DIFFERENTIATION_VTAR,MATCH(A255,PT_DIFFERENTIATION_VTAR_ID,0))</f>
        <v>Тариф на подключение (технологическое присоединение) к централизованной системе горячего водоснабжения</v>
      </c>
      <c r="G255" s="4876" t="str">
        <f>INDEX(PT_DIFFERENTIATION_NTAR,MATCH(B255,PT_DIFFERENTIATION_NTAR_ID,0))</f>
        <v/>
      </c>
      <c r="H255" s="1774"/>
      <c r="I255" s="1650"/>
      <c r="J255" s="1685"/>
      <c r="K255" s="1690"/>
      <c r="L255" s="1774" t="s">
        <v>445</v>
      </c>
      <c r="M255" s="268"/>
      <c r="N255" s="261"/>
      <c r="O255" s="1537"/>
      <c r="P255" s="1537"/>
    </row>
    <row r="256" spans="1:16" s="1924" customFormat="1" ht="18.75" hidden="1" customHeight="1">
      <c r="A256" s="1692"/>
      <c r="B256" s="1692"/>
      <c r="C256" s="298" t="s">
        <v>1196</v>
      </c>
      <c r="D256" s="4904"/>
      <c r="E256" s="4713"/>
      <c r="F256" s="4848"/>
      <c r="G256" s="4876"/>
      <c r="H256" s="1411"/>
      <c r="I256" s="573" t="s">
        <v>1195</v>
      </c>
      <c r="J256" s="497"/>
      <c r="K256" s="1411"/>
      <c r="L256" s="135"/>
      <c r="M256" s="268"/>
      <c r="N256" s="261"/>
      <c r="O256" s="1537"/>
      <c r="P256" s="1537"/>
    </row>
    <row r="257" spans="1:16" s="1924" customFormat="1" ht="0.75" hidden="1" customHeight="1">
      <c r="A257" s="1692"/>
      <c r="B257" s="1692"/>
      <c r="C257" s="298" t="s">
        <v>1203</v>
      </c>
      <c r="D257" s="4904"/>
      <c r="E257" s="4713"/>
      <c r="F257" s="4848"/>
      <c r="G257" s="335"/>
      <c r="H257" s="1411"/>
      <c r="I257" s="573"/>
      <c r="J257" s="497"/>
      <c r="K257" s="1411"/>
      <c r="L257" s="135"/>
      <c r="M257" s="268"/>
      <c r="N257" s="261"/>
      <c r="O257" s="1537"/>
      <c r="P257" s="1537"/>
    </row>
    <row r="258" spans="1:16" s="1924" customFormat="1" ht="18.75" hidden="1" customHeight="1">
      <c r="A258" s="1692" t="s">
        <v>312</v>
      </c>
      <c r="B258" s="1692" t="s">
        <v>313</v>
      </c>
      <c r="C258" s="298"/>
      <c r="D258" s="4904"/>
      <c r="E258" s="4713"/>
      <c r="F258" s="4848" t="str">
        <f>INDEX(PT_DIFFERENTIATION_VTAR,MATCH(A258,PT_DIFFERENTIATION_VTAR_ID,0))</f>
        <v>Тариф на водоотведение</v>
      </c>
      <c r="G258" s="4876" t="str">
        <f>INDEX(PT_DIFFERENTIATION_NTAR,MATCH(B258,PT_DIFFERENTIATION_NTAR_ID,0))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H258" s="1774"/>
      <c r="I258" s="1650"/>
      <c r="J258" s="1685"/>
      <c r="K258" s="1690"/>
      <c r="L258" s="1774" t="s">
        <v>445</v>
      </c>
      <c r="M258" s="268"/>
      <c r="N258" s="261"/>
      <c r="O258" s="1537"/>
      <c r="P258" s="1537"/>
    </row>
    <row r="259" spans="1:16" s="1924" customFormat="1" ht="18.75" hidden="1" customHeight="1">
      <c r="A259" s="1692"/>
      <c r="B259" s="1692"/>
      <c r="C259" s="298" t="s">
        <v>1196</v>
      </c>
      <c r="D259" s="4904"/>
      <c r="E259" s="4713"/>
      <c r="F259" s="4848"/>
      <c r="G259" s="4876"/>
      <c r="H259" s="1411"/>
      <c r="I259" s="573" t="s">
        <v>1195</v>
      </c>
      <c r="J259" s="497"/>
      <c r="K259" s="1411"/>
      <c r="L259" s="135"/>
      <c r="M259" s="268"/>
      <c r="N259" s="261"/>
      <c r="O259" s="1537"/>
      <c r="P259" s="1537"/>
    </row>
    <row r="260" spans="1:16" s="4110" customFormat="1" ht="18.75" customHeight="1">
      <c r="A260" s="2041" t="s">
        <v>312</v>
      </c>
      <c r="B260" s="2041" t="s">
        <v>319</v>
      </c>
      <c r="C260" s="4103"/>
      <c r="D260" s="4905"/>
      <c r="E260" s="4906"/>
      <c r="F260" s="4906"/>
      <c r="G260" s="4876" t="str">
        <f>INDEX(PT_DIFFERENTIATION_NTAR,MATCH(B260,PT_DIFFERENTIATION_NTAR_ID,0))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H260" s="4104"/>
      <c r="I260" s="4105"/>
      <c r="J260" s="4106"/>
      <c r="K260" s="4196"/>
      <c r="L260" s="4104" t="s">
        <v>445</v>
      </c>
      <c r="M260" s="4108"/>
      <c r="N260" s="4109"/>
      <c r="O260" s="1979"/>
      <c r="P260" s="1979"/>
    </row>
    <row r="261" spans="1:16" s="4110" customFormat="1" ht="18.75" customHeight="1">
      <c r="A261" s="2041"/>
      <c r="B261" s="2041"/>
      <c r="C261" s="4103" t="s">
        <v>1196</v>
      </c>
      <c r="D261" s="4905"/>
      <c r="E261" s="4906"/>
      <c r="F261" s="4906"/>
      <c r="G261" s="4876"/>
      <c r="H261" s="4282"/>
      <c r="I261" s="4283" t="s">
        <v>1195</v>
      </c>
      <c r="J261" s="4284"/>
      <c r="K261" s="4285"/>
      <c r="L261" s="4286"/>
      <c r="M261" s="4108"/>
      <c r="N261" s="4109"/>
      <c r="O261" s="1979"/>
      <c r="P261" s="1979"/>
    </row>
    <row r="262" spans="1:16" s="4110" customFormat="1" ht="18.75" customHeight="1">
      <c r="A262" s="2041" t="s">
        <v>312</v>
      </c>
      <c r="B262" s="2041" t="s">
        <v>324</v>
      </c>
      <c r="C262" s="4103"/>
      <c r="D262" s="4905"/>
      <c r="E262" s="4906"/>
      <c r="F262" s="4906"/>
      <c r="G262" s="4876" t="str">
        <f>INDEX(PT_DIFFERENTIATION_NTAR,MATCH(B262,PT_DIFFERENTIATION_NTAR_ID,0))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H262" s="4104"/>
      <c r="I262" s="4105"/>
      <c r="J262" s="4106"/>
      <c r="K262" s="4196"/>
      <c r="L262" s="4104" t="s">
        <v>445</v>
      </c>
      <c r="M262" s="4108"/>
      <c r="N262" s="4109"/>
      <c r="O262" s="1979"/>
      <c r="P262" s="1979"/>
    </row>
    <row r="263" spans="1:16" s="4110" customFormat="1" ht="18.75" customHeight="1">
      <c r="A263" s="2041"/>
      <c r="B263" s="2041"/>
      <c r="C263" s="4103" t="s">
        <v>1196</v>
      </c>
      <c r="D263" s="4905"/>
      <c r="E263" s="4906"/>
      <c r="F263" s="4906"/>
      <c r="G263" s="4876"/>
      <c r="H263" s="4287"/>
      <c r="I263" s="4288" t="s">
        <v>1195</v>
      </c>
      <c r="J263" s="4289"/>
      <c r="K263" s="4290"/>
      <c r="L263" s="4291"/>
      <c r="M263" s="4108"/>
      <c r="N263" s="4109"/>
      <c r="O263" s="1979"/>
      <c r="P263" s="1979"/>
    </row>
    <row r="264" spans="1:16" s="4110" customFormat="1" ht="18.75" customHeight="1">
      <c r="A264" s="2041" t="s">
        <v>312</v>
      </c>
      <c r="B264" s="2041" t="s">
        <v>329</v>
      </c>
      <c r="C264" s="4103"/>
      <c r="D264" s="4905"/>
      <c r="E264" s="4906"/>
      <c r="F264" s="4906"/>
      <c r="G264" s="4876" t="str">
        <f>INDEX(PT_DIFFERENTIATION_NTAR,MATCH(B264,PT_DIFFERENTIATION_NTAR_ID,0))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H264" s="4104"/>
      <c r="I264" s="4105"/>
      <c r="J264" s="4106"/>
      <c r="K264" s="4196"/>
      <c r="L264" s="4104" t="s">
        <v>445</v>
      </c>
      <c r="M264" s="4108"/>
      <c r="N264" s="4109"/>
      <c r="O264" s="1979"/>
      <c r="P264" s="1979"/>
    </row>
    <row r="265" spans="1:16" s="4110" customFormat="1" ht="18.75" customHeight="1">
      <c r="A265" s="2041"/>
      <c r="B265" s="2041"/>
      <c r="C265" s="4103" t="s">
        <v>1196</v>
      </c>
      <c r="D265" s="4905"/>
      <c r="E265" s="4906"/>
      <c r="F265" s="4906"/>
      <c r="G265" s="4876"/>
      <c r="H265" s="4292"/>
      <c r="I265" s="4293" t="s">
        <v>1195</v>
      </c>
      <c r="J265" s="4294"/>
      <c r="K265" s="4295"/>
      <c r="L265" s="4296"/>
      <c r="M265" s="4108"/>
      <c r="N265" s="4109"/>
      <c r="O265" s="1979"/>
      <c r="P265" s="1979"/>
    </row>
    <row r="266" spans="1:16" s="4110" customFormat="1" ht="18.75" customHeight="1">
      <c r="A266" s="2041" t="s">
        <v>312</v>
      </c>
      <c r="B266" s="2041" t="s">
        <v>334</v>
      </c>
      <c r="C266" s="4103"/>
      <c r="D266" s="4905"/>
      <c r="E266" s="4906"/>
      <c r="F266" s="4906"/>
      <c r="G266" s="4876" t="str">
        <f>INDEX(PT_DIFFERENTIATION_NTAR,MATCH(B266,PT_DIFFERENTIATION_NTAR_ID,0))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H266" s="4104"/>
      <c r="I266" s="4105"/>
      <c r="J266" s="4106"/>
      <c r="K266" s="4196"/>
      <c r="L266" s="4104" t="s">
        <v>445</v>
      </c>
      <c r="M266" s="4108"/>
      <c r="N266" s="4109"/>
      <c r="O266" s="1979"/>
      <c r="P266" s="1979"/>
    </row>
    <row r="267" spans="1:16" s="4110" customFormat="1" ht="18.75" customHeight="1">
      <c r="A267" s="2041"/>
      <c r="B267" s="2041"/>
      <c r="C267" s="4103" t="s">
        <v>1196</v>
      </c>
      <c r="D267" s="4905"/>
      <c r="E267" s="4906"/>
      <c r="F267" s="4906"/>
      <c r="G267" s="4876"/>
      <c r="H267" s="4297"/>
      <c r="I267" s="4298" t="s">
        <v>1195</v>
      </c>
      <c r="J267" s="4299"/>
      <c r="K267" s="4300"/>
      <c r="L267" s="4301"/>
      <c r="M267" s="4108"/>
      <c r="N267" s="4109"/>
      <c r="O267" s="1979"/>
      <c r="P267" s="1979"/>
    </row>
    <row r="268" spans="1:16" s="4110" customFormat="1" ht="18.75" customHeight="1">
      <c r="A268" s="2041" t="s">
        <v>312</v>
      </c>
      <c r="B268" s="2041" t="s">
        <v>339</v>
      </c>
      <c r="C268" s="4103"/>
      <c r="D268" s="4905"/>
      <c r="E268" s="4906"/>
      <c r="F268" s="4906"/>
      <c r="G268" s="4876" t="str">
        <f>INDEX(PT_DIFFERENTIATION_NTAR,MATCH(B268,PT_DIFFERENTIATION_NTAR_ID,0))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H268" s="4104"/>
      <c r="I268" s="4105"/>
      <c r="J268" s="4106"/>
      <c r="K268" s="4196"/>
      <c r="L268" s="4104" t="s">
        <v>445</v>
      </c>
      <c r="M268" s="4108"/>
      <c r="N268" s="4109"/>
      <c r="O268" s="1979"/>
      <c r="P268" s="1979"/>
    </row>
    <row r="269" spans="1:16" s="4110" customFormat="1" ht="18.75" customHeight="1">
      <c r="A269" s="2041"/>
      <c r="B269" s="2041"/>
      <c r="C269" s="4103" t="s">
        <v>1196</v>
      </c>
      <c r="D269" s="4905"/>
      <c r="E269" s="4906"/>
      <c r="F269" s="4906"/>
      <c r="G269" s="4876"/>
      <c r="H269" s="4302"/>
      <c r="I269" s="4303" t="s">
        <v>1195</v>
      </c>
      <c r="J269" s="4304"/>
      <c r="K269" s="4305"/>
      <c r="L269" s="4306"/>
      <c r="M269" s="4108"/>
      <c r="N269" s="4109"/>
      <c r="O269" s="1979"/>
      <c r="P269" s="1979"/>
    </row>
    <row r="270" spans="1:16" s="4110" customFormat="1" ht="18.75" customHeight="1">
      <c r="A270" s="2041" t="s">
        <v>312</v>
      </c>
      <c r="B270" s="2041" t="s">
        <v>344</v>
      </c>
      <c r="C270" s="4103"/>
      <c r="D270" s="4905"/>
      <c r="E270" s="4906"/>
      <c r="F270" s="4906"/>
      <c r="G270" s="4876" t="str">
        <f>INDEX(PT_DIFFERENTIATION_NTAR,MATCH(B270,PT_DIFFERENTIATION_NTAR_ID,0))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H270" s="4104"/>
      <c r="I270" s="4105"/>
      <c r="J270" s="4106"/>
      <c r="K270" s="4196"/>
      <c r="L270" s="4104" t="s">
        <v>445</v>
      </c>
      <c r="M270" s="4108"/>
      <c r="N270" s="4109"/>
      <c r="O270" s="1979"/>
      <c r="P270" s="1979"/>
    </row>
    <row r="271" spans="1:16" s="4110" customFormat="1" ht="18.75" customHeight="1">
      <c r="A271" s="2041"/>
      <c r="B271" s="2041"/>
      <c r="C271" s="4103" t="s">
        <v>1196</v>
      </c>
      <c r="D271" s="4905"/>
      <c r="E271" s="4906"/>
      <c r="F271" s="4906"/>
      <c r="G271" s="4876"/>
      <c r="H271" s="4307"/>
      <c r="I271" s="4308" t="s">
        <v>1195</v>
      </c>
      <c r="J271" s="4309"/>
      <c r="K271" s="4310"/>
      <c r="L271" s="4311"/>
      <c r="M271" s="4108"/>
      <c r="N271" s="4109"/>
      <c r="O271" s="1979"/>
      <c r="P271" s="1979"/>
    </row>
    <row r="272" spans="1:16" s="4110" customFormat="1" ht="18.75" customHeight="1">
      <c r="A272" s="2041" t="s">
        <v>312</v>
      </c>
      <c r="B272" s="2041" t="s">
        <v>349</v>
      </c>
      <c r="C272" s="4103"/>
      <c r="D272" s="4905"/>
      <c r="E272" s="4906"/>
      <c r="F272" s="4906"/>
      <c r="G272" s="4876" t="str">
        <f>INDEX(PT_DIFFERENTIATION_NTAR,MATCH(B272,PT_DIFFERENTIATION_NTAR_ID,0))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H272" s="4104"/>
      <c r="I272" s="4105"/>
      <c r="J272" s="4106"/>
      <c r="K272" s="4196"/>
      <c r="L272" s="4104" t="s">
        <v>445</v>
      </c>
      <c r="M272" s="4108"/>
      <c r="N272" s="4109"/>
      <c r="O272" s="1979"/>
      <c r="P272" s="1979"/>
    </row>
    <row r="273" spans="1:16" s="4110" customFormat="1" ht="18.75" customHeight="1">
      <c r="A273" s="2041"/>
      <c r="B273" s="2041"/>
      <c r="C273" s="4103" t="s">
        <v>1196</v>
      </c>
      <c r="D273" s="4905"/>
      <c r="E273" s="4906"/>
      <c r="F273" s="4906"/>
      <c r="G273" s="4876"/>
      <c r="H273" s="4312"/>
      <c r="I273" s="4313" t="s">
        <v>1195</v>
      </c>
      <c r="J273" s="4314"/>
      <c r="K273" s="4315"/>
      <c r="L273" s="4316"/>
      <c r="M273" s="4108"/>
      <c r="N273" s="4109"/>
      <c r="O273" s="1979"/>
      <c r="P273" s="1979"/>
    </row>
    <row r="274" spans="1:16" s="4110" customFormat="1" ht="18.75" customHeight="1">
      <c r="A274" s="2041" t="s">
        <v>312</v>
      </c>
      <c r="B274" s="2041" t="s">
        <v>354</v>
      </c>
      <c r="C274" s="4103"/>
      <c r="D274" s="4905"/>
      <c r="E274" s="4906"/>
      <c r="F274" s="4906"/>
      <c r="G274" s="4876" t="str">
        <f>INDEX(PT_DIFFERENTIATION_NTAR,MATCH(B274,PT_DIFFERENTIATION_NTAR_ID,0))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H274" s="4104"/>
      <c r="I274" s="4105"/>
      <c r="J274" s="4106"/>
      <c r="K274" s="4196"/>
      <c r="L274" s="4104" t="s">
        <v>445</v>
      </c>
      <c r="M274" s="4108"/>
      <c r="N274" s="4109"/>
      <c r="O274" s="1979"/>
      <c r="P274" s="1979"/>
    </row>
    <row r="275" spans="1:16" s="4110" customFormat="1" ht="18.75" customHeight="1">
      <c r="A275" s="2041"/>
      <c r="B275" s="2041"/>
      <c r="C275" s="4103" t="s">
        <v>1196</v>
      </c>
      <c r="D275" s="4905"/>
      <c r="E275" s="4906"/>
      <c r="F275" s="4906"/>
      <c r="G275" s="4876"/>
      <c r="H275" s="4317"/>
      <c r="I275" s="4318" t="s">
        <v>1195</v>
      </c>
      <c r="J275" s="4319"/>
      <c r="K275" s="4320"/>
      <c r="L275" s="4321"/>
      <c r="M275" s="4108"/>
      <c r="N275" s="4109"/>
      <c r="O275" s="1979"/>
      <c r="P275" s="1979"/>
    </row>
    <row r="276" spans="1:16" s="4110" customFormat="1" ht="18.75" customHeight="1">
      <c r="A276" s="2041" t="s">
        <v>312</v>
      </c>
      <c r="B276" s="2041" t="s">
        <v>359</v>
      </c>
      <c r="C276" s="4103"/>
      <c r="D276" s="4905"/>
      <c r="E276" s="4906"/>
      <c r="F276" s="4906"/>
      <c r="G276" s="4876" t="str">
        <f>INDEX(PT_DIFFERENTIATION_NTAR,MATCH(B276,PT_DIFFERENTIATION_NTAR_ID,0))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H276" s="4104"/>
      <c r="I276" s="4105"/>
      <c r="J276" s="4106"/>
      <c r="K276" s="4196"/>
      <c r="L276" s="4104" t="s">
        <v>445</v>
      </c>
      <c r="M276" s="4108"/>
      <c r="N276" s="4109"/>
      <c r="O276" s="1979"/>
      <c r="P276" s="1979"/>
    </row>
    <row r="277" spans="1:16" s="4110" customFormat="1" ht="18.75" customHeight="1">
      <c r="A277" s="2041"/>
      <c r="B277" s="2041"/>
      <c r="C277" s="4103" t="s">
        <v>1196</v>
      </c>
      <c r="D277" s="4905"/>
      <c r="E277" s="4906"/>
      <c r="F277" s="4906"/>
      <c r="G277" s="4876"/>
      <c r="H277" s="4322"/>
      <c r="I277" s="4323" t="s">
        <v>1195</v>
      </c>
      <c r="J277" s="4324"/>
      <c r="K277" s="4325"/>
      <c r="L277" s="4326"/>
      <c r="M277" s="4108"/>
      <c r="N277" s="4109"/>
      <c r="O277" s="1979"/>
      <c r="P277" s="1979"/>
    </row>
    <row r="278" spans="1:16" s="4110" customFormat="1" ht="18.75" customHeight="1">
      <c r="A278" s="2041" t="s">
        <v>312</v>
      </c>
      <c r="B278" s="2041" t="s">
        <v>364</v>
      </c>
      <c r="C278" s="4103"/>
      <c r="D278" s="4905"/>
      <c r="E278" s="4906"/>
      <c r="F278" s="4906"/>
      <c r="G278" s="4876" t="str">
        <f>INDEX(PT_DIFFERENTIATION_NTAR,MATCH(B278,PT_DIFFERENTIATION_NTAR_ID,0))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H278" s="4104"/>
      <c r="I278" s="4105"/>
      <c r="J278" s="4106"/>
      <c r="K278" s="4196"/>
      <c r="L278" s="4104" t="s">
        <v>445</v>
      </c>
      <c r="M278" s="4108"/>
      <c r="N278" s="4109"/>
      <c r="O278" s="1979"/>
      <c r="P278" s="1979"/>
    </row>
    <row r="279" spans="1:16" s="4110" customFormat="1" ht="18.75" customHeight="1">
      <c r="A279" s="2041"/>
      <c r="B279" s="2041"/>
      <c r="C279" s="4103" t="s">
        <v>1196</v>
      </c>
      <c r="D279" s="4905"/>
      <c r="E279" s="4906"/>
      <c r="F279" s="4906"/>
      <c r="G279" s="4876"/>
      <c r="H279" s="4327"/>
      <c r="I279" s="4328" t="s">
        <v>1195</v>
      </c>
      <c r="J279" s="4329"/>
      <c r="K279" s="4330"/>
      <c r="L279" s="4331"/>
      <c r="M279" s="4108"/>
      <c r="N279" s="4109"/>
      <c r="O279" s="1979"/>
      <c r="P279" s="1979"/>
    </row>
    <row r="280" spans="1:16" s="4110" customFormat="1" ht="18.75" customHeight="1">
      <c r="A280" s="2041" t="s">
        <v>312</v>
      </c>
      <c r="B280" s="2041" t="s">
        <v>369</v>
      </c>
      <c r="C280" s="4103"/>
      <c r="D280" s="4905"/>
      <c r="E280" s="4906"/>
      <c r="F280" s="4906"/>
      <c r="G280" s="4876" t="str">
        <f>INDEX(PT_DIFFERENTIATION_NTAR,MATCH(B280,PT_DIFFERENTIATION_NTAR_ID,0))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H280" s="4104"/>
      <c r="I280" s="4105"/>
      <c r="J280" s="4106"/>
      <c r="K280" s="4196"/>
      <c r="L280" s="4104" t="s">
        <v>445</v>
      </c>
      <c r="M280" s="4108"/>
      <c r="N280" s="4109"/>
      <c r="O280" s="1979"/>
      <c r="P280" s="1979"/>
    </row>
    <row r="281" spans="1:16" s="4110" customFormat="1" ht="18.75" customHeight="1">
      <c r="A281" s="2041"/>
      <c r="B281" s="2041"/>
      <c r="C281" s="4103" t="s">
        <v>1196</v>
      </c>
      <c r="D281" s="4905"/>
      <c r="E281" s="4906"/>
      <c r="F281" s="4906"/>
      <c r="G281" s="4876"/>
      <c r="H281" s="4332"/>
      <c r="I281" s="4333" t="s">
        <v>1195</v>
      </c>
      <c r="J281" s="4334"/>
      <c r="K281" s="4335"/>
      <c r="L281" s="4336"/>
      <c r="M281" s="4108"/>
      <c r="N281" s="4109"/>
      <c r="O281" s="1979"/>
      <c r="P281" s="1979"/>
    </row>
    <row r="282" spans="1:16" s="4110" customFormat="1" ht="18.75" customHeight="1">
      <c r="A282" s="2041" t="s">
        <v>312</v>
      </c>
      <c r="B282" s="2041" t="s">
        <v>374</v>
      </c>
      <c r="C282" s="4103"/>
      <c r="D282" s="4905"/>
      <c r="E282" s="4906"/>
      <c r="F282" s="4906"/>
      <c r="G282" s="4876" t="str">
        <f>INDEX(PT_DIFFERENTIATION_NTAR,MATCH(B282,PT_DIFFERENTIATION_NTAR_ID,0))</f>
        <v>С использованием централизованной системы водоотведения на территории села Криуши МО "Город Новоульяновск" Ульяновской области</v>
      </c>
      <c r="H282" s="4104"/>
      <c r="I282" s="4105"/>
      <c r="J282" s="4106"/>
      <c r="K282" s="4196"/>
      <c r="L282" s="4104" t="s">
        <v>445</v>
      </c>
      <c r="M282" s="4108"/>
      <c r="N282" s="4109"/>
      <c r="O282" s="1979"/>
      <c r="P282" s="1979"/>
    </row>
    <row r="283" spans="1:16" s="4110" customFormat="1" ht="18.75" customHeight="1">
      <c r="A283" s="2041"/>
      <c r="B283" s="2041"/>
      <c r="C283" s="4103" t="s">
        <v>1196</v>
      </c>
      <c r="D283" s="4905"/>
      <c r="E283" s="4906"/>
      <c r="F283" s="4906"/>
      <c r="G283" s="4876"/>
      <c r="H283" s="4337"/>
      <c r="I283" s="4338" t="s">
        <v>1195</v>
      </c>
      <c r="J283" s="4339"/>
      <c r="K283" s="4340"/>
      <c r="L283" s="4341"/>
      <c r="M283" s="4108"/>
      <c r="N283" s="4109"/>
      <c r="O283" s="1979"/>
      <c r="P283" s="1979"/>
    </row>
    <row r="284" spans="1:16" s="4110" customFormat="1" ht="18.75" customHeight="1">
      <c r="A284" s="2041" t="s">
        <v>312</v>
      </c>
      <c r="B284" s="2041" t="s">
        <v>379</v>
      </c>
      <c r="C284" s="4103"/>
      <c r="D284" s="4905"/>
      <c r="E284" s="4906"/>
      <c r="F284" s="4906"/>
      <c r="G284" s="4876" t="str">
        <f>INDEX(PT_DIFFERENTIATION_NTAR,MATCH(B284,PT_DIFFERENTIATION_NTAR_ID,0))</f>
        <v>С использованием централизованной системы водоотведения на территории посёлка Липки МО "Город Новоульяновск Ульяновской области</v>
      </c>
      <c r="H284" s="4104"/>
      <c r="I284" s="4105"/>
      <c r="J284" s="4106"/>
      <c r="K284" s="4196"/>
      <c r="L284" s="4104" t="s">
        <v>445</v>
      </c>
      <c r="M284" s="4108"/>
      <c r="N284" s="4109"/>
      <c r="O284" s="1979"/>
      <c r="P284" s="1979"/>
    </row>
    <row r="285" spans="1:16" s="4110" customFormat="1" ht="18.75" customHeight="1">
      <c r="A285" s="2041"/>
      <c r="B285" s="2041"/>
      <c r="C285" s="4103" t="s">
        <v>1196</v>
      </c>
      <c r="D285" s="4905"/>
      <c r="E285" s="4906"/>
      <c r="F285" s="4906"/>
      <c r="G285" s="4876"/>
      <c r="H285" s="4342"/>
      <c r="I285" s="4343" t="s">
        <v>1195</v>
      </c>
      <c r="J285" s="4344"/>
      <c r="K285" s="4345"/>
      <c r="L285" s="4346"/>
      <c r="M285" s="4108"/>
      <c r="N285" s="4109"/>
      <c r="O285" s="1979"/>
      <c r="P285" s="1979"/>
    </row>
    <row r="286" spans="1:16" s="4110" customFormat="1" ht="18.75" customHeight="1">
      <c r="A286" s="2041" t="s">
        <v>312</v>
      </c>
      <c r="B286" s="2041" t="s">
        <v>385</v>
      </c>
      <c r="C286" s="4103"/>
      <c r="D286" s="4905"/>
      <c r="E286" s="4906"/>
      <c r="F286" s="4906"/>
      <c r="G286" s="4876" t="str">
        <f>INDEX(PT_DIFFERENTIATION_NTAR,MATCH(B286,PT_DIFFERENTIATION_NTAR_ID,0))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H286" s="4104"/>
      <c r="I286" s="4105"/>
      <c r="J286" s="4106"/>
      <c r="K286" s="4196"/>
      <c r="L286" s="4104" t="s">
        <v>445</v>
      </c>
      <c r="M286" s="4108"/>
      <c r="N286" s="4109"/>
      <c r="O286" s="1979"/>
      <c r="P286" s="1979"/>
    </row>
    <row r="287" spans="1:16" s="4110" customFormat="1" ht="18.75" customHeight="1">
      <c r="A287" s="2041"/>
      <c r="B287" s="2041"/>
      <c r="C287" s="4103" t="s">
        <v>1196</v>
      </c>
      <c r="D287" s="4905"/>
      <c r="E287" s="4906"/>
      <c r="F287" s="4906"/>
      <c r="G287" s="4876"/>
      <c r="H287" s="4347"/>
      <c r="I287" s="4348" t="s">
        <v>1195</v>
      </c>
      <c r="J287" s="4349"/>
      <c r="K287" s="4350"/>
      <c r="L287" s="4351"/>
      <c r="M287" s="4108"/>
      <c r="N287" s="4109"/>
      <c r="O287" s="1979"/>
      <c r="P287" s="1979"/>
    </row>
    <row r="288" spans="1:16" s="4110" customFormat="1" ht="18.75" customHeight="1">
      <c r="A288" s="2041" t="s">
        <v>312</v>
      </c>
      <c r="B288" s="2041" t="s">
        <v>391</v>
      </c>
      <c r="C288" s="4103"/>
      <c r="D288" s="4905"/>
      <c r="E288" s="4906"/>
      <c r="F288" s="4906"/>
      <c r="G288" s="4876" t="str">
        <f>INDEX(PT_DIFFERENTIATION_NTAR,MATCH(B288,PT_DIFFERENTIATION_NTAR_ID,0))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H288" s="4104"/>
      <c r="I288" s="4105"/>
      <c r="J288" s="4106"/>
      <c r="K288" s="4196"/>
      <c r="L288" s="4104" t="s">
        <v>445</v>
      </c>
      <c r="M288" s="4108"/>
      <c r="N288" s="4109"/>
      <c r="O288" s="1979"/>
      <c r="P288" s="1979"/>
    </row>
    <row r="289" spans="1:16" s="4110" customFormat="1" ht="18.75" customHeight="1">
      <c r="A289" s="2041"/>
      <c r="B289" s="2041"/>
      <c r="C289" s="4103" t="s">
        <v>1196</v>
      </c>
      <c r="D289" s="4905"/>
      <c r="E289" s="4906"/>
      <c r="F289" s="4906"/>
      <c r="G289" s="4876"/>
      <c r="H289" s="4352"/>
      <c r="I289" s="4353" t="s">
        <v>1195</v>
      </c>
      <c r="J289" s="4354"/>
      <c r="K289" s="4355"/>
      <c r="L289" s="4356"/>
      <c r="M289" s="4108"/>
      <c r="N289" s="4109"/>
      <c r="O289" s="1979"/>
      <c r="P289" s="1979"/>
    </row>
    <row r="290" spans="1:16" s="4110" customFormat="1" ht="18.75" customHeight="1">
      <c r="A290" s="2041" t="s">
        <v>312</v>
      </c>
      <c r="B290" s="2041" t="s">
        <v>397</v>
      </c>
      <c r="C290" s="4103"/>
      <c r="D290" s="4905"/>
      <c r="E290" s="4906"/>
      <c r="F290" s="4906"/>
      <c r="G290" s="4876" t="str">
        <f>INDEX(PT_DIFFERENTIATION_NTAR,MATCH(B290,PT_DIFFERENTIATION_NTAR_ID,0))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H290" s="4104"/>
      <c r="I290" s="4105"/>
      <c r="J290" s="4106"/>
      <c r="K290" s="4196"/>
      <c r="L290" s="4104" t="s">
        <v>445</v>
      </c>
      <c r="M290" s="4108"/>
      <c r="N290" s="4109"/>
      <c r="O290" s="1979"/>
      <c r="P290" s="1979"/>
    </row>
    <row r="291" spans="1:16" s="4110" customFormat="1" ht="18.75" customHeight="1">
      <c r="A291" s="2041"/>
      <c r="B291" s="2041"/>
      <c r="C291" s="4103" t="s">
        <v>1196</v>
      </c>
      <c r="D291" s="4905"/>
      <c r="E291" s="4906"/>
      <c r="F291" s="4906"/>
      <c r="G291" s="4876"/>
      <c r="H291" s="4357"/>
      <c r="I291" s="4358" t="s">
        <v>1195</v>
      </c>
      <c r="J291" s="4359"/>
      <c r="K291" s="4360"/>
      <c r="L291" s="4361"/>
      <c r="M291" s="4108"/>
      <c r="N291" s="4109"/>
      <c r="O291" s="1979"/>
      <c r="P291" s="1979"/>
    </row>
    <row r="292" spans="1:16" s="4110" customFormat="1" ht="18.75" customHeight="1">
      <c r="A292" s="2041" t="s">
        <v>312</v>
      </c>
      <c r="B292" s="2041" t="s">
        <v>403</v>
      </c>
      <c r="C292" s="4103"/>
      <c r="D292" s="4905"/>
      <c r="E292" s="4906"/>
      <c r="F292" s="4906"/>
      <c r="G292" s="4876" t="str">
        <f>INDEX(PT_DIFFERENTIATION_NTAR,MATCH(B292,PT_DIFFERENTIATION_NTAR_ID,0))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H292" s="4104"/>
      <c r="I292" s="4105"/>
      <c r="J292" s="4106"/>
      <c r="K292" s="4196"/>
      <c r="L292" s="4104" t="s">
        <v>445</v>
      </c>
      <c r="M292" s="4108"/>
      <c r="N292" s="4109"/>
      <c r="O292" s="1979"/>
      <c r="P292" s="1979"/>
    </row>
    <row r="293" spans="1:16" s="4110" customFormat="1" ht="18.75" customHeight="1">
      <c r="A293" s="2041"/>
      <c r="B293" s="2041"/>
      <c r="C293" s="4103" t="s">
        <v>1196</v>
      </c>
      <c r="D293" s="4905"/>
      <c r="E293" s="4906"/>
      <c r="F293" s="4906"/>
      <c r="G293" s="4876"/>
      <c r="H293" s="4362"/>
      <c r="I293" s="4363" t="s">
        <v>1195</v>
      </c>
      <c r="J293" s="4364"/>
      <c r="K293" s="4365"/>
      <c r="L293" s="4366"/>
      <c r="M293" s="4108"/>
      <c r="N293" s="4109"/>
      <c r="O293" s="1979"/>
      <c r="P293" s="1979"/>
    </row>
    <row r="294" spans="1:16" s="1924" customFormat="1" ht="0.75" hidden="1" customHeight="1">
      <c r="A294" s="1692"/>
      <c r="B294" s="1692"/>
      <c r="C294" s="298" t="s">
        <v>1203</v>
      </c>
      <c r="D294" s="4904"/>
      <c r="E294" s="4713"/>
      <c r="F294" s="4848"/>
      <c r="G294" s="335"/>
      <c r="H294" s="1411"/>
      <c r="I294" s="573"/>
      <c r="J294" s="497"/>
      <c r="K294" s="1411"/>
      <c r="L294" s="135"/>
      <c r="M294" s="268"/>
      <c r="N294" s="261"/>
      <c r="O294" s="1537"/>
      <c r="P294" s="1537"/>
    </row>
    <row r="295" spans="1:16" s="1924" customFormat="1" ht="18.75" hidden="1" customHeight="1">
      <c r="A295" s="1692" t="s">
        <v>409</v>
      </c>
      <c r="B295" s="1692" t="s">
        <v>410</v>
      </c>
      <c r="C295" s="298"/>
      <c r="D295" s="4904"/>
      <c r="E295" s="4713"/>
      <c r="F295" s="4848" t="str">
        <f>INDEX(PT_DIFFERENTIATION_VTAR,MATCH(A295,PT_DIFFERENTIATION_VTAR_ID,0))</f>
        <v>Тариф на транспортировку сточных вод</v>
      </c>
      <c r="G295" s="4876" t="str">
        <f>INDEX(PT_DIFFERENTIATION_NTAR,MATCH(B295,PT_DIFFERENTIATION_NTAR_ID,0))</f>
        <v/>
      </c>
      <c r="H295" s="1774"/>
      <c r="I295" s="1650"/>
      <c r="J295" s="1685"/>
      <c r="K295" s="1690"/>
      <c r="L295" s="1774" t="s">
        <v>445</v>
      </c>
      <c r="M295" s="268"/>
      <c r="N295" s="261"/>
      <c r="O295" s="1537"/>
      <c r="P295" s="1537"/>
    </row>
    <row r="296" spans="1:16" s="1924" customFormat="1" ht="18.75" hidden="1" customHeight="1">
      <c r="A296" s="1692"/>
      <c r="B296" s="1692"/>
      <c r="C296" s="298" t="s">
        <v>1196</v>
      </c>
      <c r="D296" s="4904"/>
      <c r="E296" s="4713"/>
      <c r="F296" s="4848"/>
      <c r="G296" s="4876"/>
      <c r="H296" s="1411"/>
      <c r="I296" s="573" t="s">
        <v>1195</v>
      </c>
      <c r="J296" s="497"/>
      <c r="K296" s="1411"/>
      <c r="L296" s="135"/>
      <c r="M296" s="268"/>
      <c r="N296" s="261"/>
      <c r="O296" s="1537"/>
      <c r="P296" s="1537"/>
    </row>
    <row r="297" spans="1:16" s="1924" customFormat="1" ht="0.75" hidden="1" customHeight="1">
      <c r="A297" s="1692"/>
      <c r="B297" s="1692"/>
      <c r="C297" s="298" t="s">
        <v>1203</v>
      </c>
      <c r="D297" s="4904"/>
      <c r="E297" s="4713"/>
      <c r="F297" s="4848"/>
      <c r="G297" s="335"/>
      <c r="H297" s="1411"/>
      <c r="I297" s="573"/>
      <c r="J297" s="497"/>
      <c r="K297" s="1411"/>
      <c r="L297" s="135"/>
      <c r="M297" s="268"/>
      <c r="N297" s="261"/>
      <c r="O297" s="1537"/>
      <c r="P297" s="1537"/>
    </row>
    <row r="298" spans="1:16" s="1924" customFormat="1" ht="18.75" hidden="1" customHeight="1">
      <c r="A298" s="1692" t="s">
        <v>414</v>
      </c>
      <c r="B298" s="1692" t="s">
        <v>415</v>
      </c>
      <c r="C298" s="298"/>
      <c r="D298" s="4904"/>
      <c r="E298" s="4713"/>
      <c r="F298" s="4848" t="str">
        <f>INDEX(PT_DIFFERENTIATION_VTAR,MATCH(A298,PT_DIFFERENTIATION_VTAR_ID,0))</f>
        <v>Тариф на подключение (технологическое присоединение) к централизованной системе водоотведения</v>
      </c>
      <c r="G298" s="4876" t="str">
        <f>INDEX(PT_DIFFERENTIATION_NTAR,MATCH(B298,PT_DIFFERENTIATION_NTAR_ID,0))</f>
        <v/>
      </c>
      <c r="H298" s="1774"/>
      <c r="I298" s="1650"/>
      <c r="J298" s="1685"/>
      <c r="K298" s="1690"/>
      <c r="L298" s="1774" t="s">
        <v>445</v>
      </c>
      <c r="M298" s="268"/>
      <c r="N298" s="261"/>
      <c r="O298" s="1537"/>
      <c r="P298" s="1537"/>
    </row>
    <row r="299" spans="1:16" s="1924" customFormat="1" ht="18.75" hidden="1" customHeight="1">
      <c r="A299" s="1692"/>
      <c r="B299" s="1692"/>
      <c r="C299" s="298" t="s">
        <v>1196</v>
      </c>
      <c r="D299" s="4904"/>
      <c r="E299" s="4713"/>
      <c r="F299" s="4848"/>
      <c r="G299" s="4876"/>
      <c r="H299" s="1411"/>
      <c r="I299" s="573" t="s">
        <v>1195</v>
      </c>
      <c r="J299" s="497"/>
      <c r="K299" s="1411"/>
      <c r="L299" s="135"/>
      <c r="M299" s="268"/>
      <c r="N299" s="261"/>
      <c r="O299" s="1537"/>
      <c r="P299" s="1537"/>
    </row>
    <row r="300" spans="1:16" s="1924" customFormat="1" ht="0.75" customHeight="1">
      <c r="A300" s="1692"/>
      <c r="B300" s="1692"/>
      <c r="C300" s="298" t="s">
        <v>1203</v>
      </c>
      <c r="D300" s="4904"/>
      <c r="E300" s="4713"/>
      <c r="F300" s="4848"/>
      <c r="G300" s="335"/>
      <c r="H300" s="1411"/>
      <c r="I300" s="573"/>
      <c r="J300" s="497"/>
      <c r="K300" s="1411"/>
      <c r="L300" s="135"/>
      <c r="M300" s="268"/>
      <c r="N300" s="261"/>
      <c r="O300" s="1537"/>
      <c r="P300" s="1537"/>
    </row>
    <row r="301" spans="1:16" ht="26.25" customHeight="1">
      <c r="A301" s="1692"/>
      <c r="B301" s="1692"/>
      <c r="D301" s="306"/>
      <c r="E301" s="71" t="s">
        <v>128</v>
      </c>
      <c r="F301" s="49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301" s="4903"/>
      <c r="H301" s="4903"/>
      <c r="I301" s="4903"/>
      <c r="J301" s="4903"/>
      <c r="K301" s="4903"/>
      <c r="L301" s="4903"/>
      <c r="M301" s="216"/>
      <c r="N301" s="261"/>
    </row>
    <row r="302" spans="1:16" s="1924" customFormat="1" ht="60.75" hidden="1" customHeight="1">
      <c r="A302" s="1692" t="s">
        <v>214</v>
      </c>
      <c r="B302" s="1692" t="s">
        <v>215</v>
      </c>
      <c r="C302" s="298"/>
      <c r="D302" s="4904"/>
      <c r="E302" s="4713"/>
      <c r="F302" s="4848"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4876" t="str">
        <f>INDEX(PT_DIFFERENTIATION_NTAR,MATCH(B302,PT_DIFFERENTIATION_NTAR_ID,0))</f>
        <v/>
      </c>
      <c r="H302" s="1774"/>
      <c r="I302" s="1650"/>
      <c r="J302" s="1685"/>
      <c r="K302" s="1690"/>
      <c r="L302" s="1774" t="s">
        <v>445</v>
      </c>
      <c r="M302" s="46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302" s="261"/>
      <c r="O302" s="1537"/>
      <c r="P302" s="1537"/>
    </row>
    <row r="303" spans="1:16" s="1924" customFormat="1" ht="18.75" hidden="1" customHeight="1">
      <c r="A303" s="1692"/>
      <c r="B303" s="1692"/>
      <c r="C303" s="298" t="s">
        <v>1196</v>
      </c>
      <c r="D303" s="4904"/>
      <c r="E303" s="4713"/>
      <c r="F303" s="4848"/>
      <c r="G303" s="4876"/>
      <c r="H303" s="1411"/>
      <c r="I303" s="573" t="s">
        <v>1195</v>
      </c>
      <c r="J303" s="497"/>
      <c r="K303" s="1411"/>
      <c r="L303" s="135"/>
      <c r="M303" s="4668"/>
      <c r="N303" s="261"/>
      <c r="O303" s="1537"/>
      <c r="P303" s="1537"/>
    </row>
    <row r="304" spans="1:16" s="1924" customFormat="1" ht="0.75" hidden="1" customHeight="1">
      <c r="A304" s="1692"/>
      <c r="B304" s="1692"/>
      <c r="C304" s="298" t="s">
        <v>1203</v>
      </c>
      <c r="D304" s="4904"/>
      <c r="E304" s="4713"/>
      <c r="F304" s="4848"/>
      <c r="G304" s="335"/>
      <c r="H304" s="1411"/>
      <c r="I304" s="573"/>
      <c r="J304" s="497"/>
      <c r="K304" s="1411"/>
      <c r="L304" s="135"/>
      <c r="M304" s="4668"/>
      <c r="N304" s="261"/>
      <c r="O304" s="1537"/>
      <c r="P304" s="1537"/>
    </row>
    <row r="305" spans="1:16" s="1924" customFormat="1" ht="45" hidden="1" customHeight="1">
      <c r="A305" s="1692" t="s">
        <v>220</v>
      </c>
      <c r="B305" s="1692" t="s">
        <v>221</v>
      </c>
      <c r="C305" s="298"/>
      <c r="D305" s="4904"/>
      <c r="E305" s="4713"/>
      <c r="F305" s="4848" t="str">
        <f>INDEX(PT_DIFFERENTIATION_VTAR,MATCH(A305,PT_DIFFERENTIATION_VTAR_ID,0))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5" s="4876" t="str">
        <f>INDEX(PT_DIFFERENTIATION_NTAR,MATCH(B305,PT_DIFFERENTIATION_NTAR_ID,0))</f>
        <v/>
      </c>
      <c r="H305" s="1774"/>
      <c r="I305" s="1650"/>
      <c r="J305" s="1685"/>
      <c r="K305" s="1690"/>
      <c r="L305" s="1774" t="s">
        <v>445</v>
      </c>
      <c r="M305" s="4669"/>
      <c r="N305" s="261"/>
      <c r="O305" s="1537"/>
      <c r="P305" s="1537"/>
    </row>
    <row r="306" spans="1:16" s="1924" customFormat="1" ht="18.75" hidden="1" customHeight="1">
      <c r="A306" s="1692"/>
      <c r="B306" s="1692"/>
      <c r="C306" s="298" t="s">
        <v>1196</v>
      </c>
      <c r="D306" s="4904"/>
      <c r="E306" s="4713"/>
      <c r="F306" s="4848"/>
      <c r="G306" s="4876"/>
      <c r="H306" s="1411"/>
      <c r="I306" s="573" t="s">
        <v>1195</v>
      </c>
      <c r="J306" s="497"/>
      <c r="K306" s="1411"/>
      <c r="L306" s="135"/>
      <c r="M306" s="1773"/>
      <c r="N306" s="261"/>
      <c r="O306" s="1537"/>
      <c r="P306" s="1537"/>
    </row>
    <row r="307" spans="1:16" s="1924" customFormat="1" ht="0.75" hidden="1" customHeight="1">
      <c r="A307" s="1692"/>
      <c r="B307" s="1692"/>
      <c r="C307" s="298" t="s">
        <v>1203</v>
      </c>
      <c r="D307" s="4904"/>
      <c r="E307" s="4713"/>
      <c r="F307" s="4848"/>
      <c r="G307" s="335"/>
      <c r="H307" s="1411"/>
      <c r="I307" s="573"/>
      <c r="J307" s="497"/>
      <c r="K307" s="1411"/>
      <c r="L307" s="135"/>
      <c r="M307" s="268"/>
      <c r="N307" s="261"/>
      <c r="O307" s="1537"/>
      <c r="P307" s="1537"/>
    </row>
    <row r="308" spans="1:16" s="1924" customFormat="1" ht="45" hidden="1" customHeight="1">
      <c r="A308" s="1692" t="s">
        <v>226</v>
      </c>
      <c r="B308" s="1692" t="s">
        <v>227</v>
      </c>
      <c r="C308" s="298"/>
      <c r="D308" s="4904"/>
      <c r="E308" s="4713"/>
      <c r="F308" s="4848" t="str">
        <f>INDEX(PT_DIFFERENTIATION_VTAR,MATCH(A308,PT_DIFFERENTIATION_VTAR_ID,0))</f>
        <v>Тарифы на теплоноситель, поставляемый теплоснабжающими организациями потребителям, другим теплоснабжающим организациям</v>
      </c>
      <c r="G308" s="4876" t="str">
        <f>INDEX(PT_DIFFERENTIATION_NTAR,MATCH(B308,PT_DIFFERENTIATION_NTAR_ID,0))</f>
        <v/>
      </c>
      <c r="H308" s="1774"/>
      <c r="I308" s="1650"/>
      <c r="J308" s="1685"/>
      <c r="K308" s="1690"/>
      <c r="L308" s="1774" t="s">
        <v>445</v>
      </c>
      <c r="M308" s="268"/>
      <c r="N308" s="261"/>
      <c r="O308" s="1537"/>
      <c r="P308" s="1537"/>
    </row>
    <row r="309" spans="1:16" s="1924" customFormat="1" ht="18.75" hidden="1" customHeight="1">
      <c r="A309" s="1692"/>
      <c r="B309" s="1692"/>
      <c r="C309" s="298" t="s">
        <v>1196</v>
      </c>
      <c r="D309" s="4904"/>
      <c r="E309" s="4713"/>
      <c r="F309" s="4848"/>
      <c r="G309" s="4876"/>
      <c r="H309" s="1411"/>
      <c r="I309" s="573" t="s">
        <v>1195</v>
      </c>
      <c r="J309" s="497"/>
      <c r="K309" s="1411"/>
      <c r="L309" s="135"/>
      <c r="M309" s="268"/>
      <c r="N309" s="261"/>
      <c r="O309" s="1537"/>
      <c r="P309" s="1537"/>
    </row>
    <row r="310" spans="1:16" s="1924" customFormat="1" ht="0.75" hidden="1" customHeight="1">
      <c r="A310" s="1692"/>
      <c r="B310" s="1692"/>
      <c r="C310" s="298" t="s">
        <v>1203</v>
      </c>
      <c r="D310" s="4904"/>
      <c r="E310" s="4713"/>
      <c r="F310" s="4848"/>
      <c r="G310" s="335"/>
      <c r="H310" s="1411"/>
      <c r="I310" s="573"/>
      <c r="J310" s="497"/>
      <c r="K310" s="1411"/>
      <c r="L310" s="135"/>
      <c r="M310" s="268"/>
      <c r="N310" s="261"/>
      <c r="O310" s="1537"/>
      <c r="P310" s="1537"/>
    </row>
    <row r="311" spans="1:16" s="1924" customFormat="1" ht="45" hidden="1" customHeight="1">
      <c r="A311" s="1692" t="s">
        <v>232</v>
      </c>
      <c r="B311" s="1692" t="s">
        <v>233</v>
      </c>
      <c r="C311" s="298"/>
      <c r="D311" s="4904"/>
      <c r="E311" s="4713"/>
      <c r="F311" s="4848" t="str">
        <f>INDEX(PT_DIFFERENTIATION_VTAR,MATCH(A311,PT_DIFFERENTIATION_VTAR_ID,0))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1" s="4876" t="str">
        <f>INDEX(PT_DIFFERENTIATION_NTAR,MATCH(B311,PT_DIFFERENTIATION_NTAR_ID,0))</f>
        <v/>
      </c>
      <c r="H311" s="1774"/>
      <c r="I311" s="1650"/>
      <c r="J311" s="1685"/>
      <c r="K311" s="1690"/>
      <c r="L311" s="1774" t="s">
        <v>445</v>
      </c>
      <c r="M311" s="268"/>
      <c r="N311" s="261"/>
      <c r="O311" s="1537"/>
      <c r="P311" s="1537"/>
    </row>
    <row r="312" spans="1:16" s="1924" customFormat="1" ht="18.75" hidden="1" customHeight="1">
      <c r="A312" s="1692"/>
      <c r="B312" s="1692"/>
      <c r="C312" s="298" t="s">
        <v>1196</v>
      </c>
      <c r="D312" s="4904"/>
      <c r="E312" s="4713"/>
      <c r="F312" s="4848"/>
      <c r="G312" s="4876"/>
      <c r="H312" s="1411"/>
      <c r="I312" s="573" t="s">
        <v>1195</v>
      </c>
      <c r="J312" s="497"/>
      <c r="K312" s="1411"/>
      <c r="L312" s="135"/>
      <c r="M312" s="268"/>
      <c r="N312" s="261"/>
      <c r="O312" s="1537"/>
      <c r="P312" s="1537"/>
    </row>
    <row r="313" spans="1:16" s="1924" customFormat="1" ht="0.75" hidden="1" customHeight="1">
      <c r="A313" s="1692"/>
      <c r="B313" s="1692"/>
      <c r="C313" s="298" t="s">
        <v>1203</v>
      </c>
      <c r="D313" s="4904"/>
      <c r="E313" s="4713"/>
      <c r="F313" s="4848"/>
      <c r="G313" s="335"/>
      <c r="H313" s="1411"/>
      <c r="I313" s="573"/>
      <c r="J313" s="497"/>
      <c r="K313" s="1411"/>
      <c r="L313" s="135"/>
      <c r="M313" s="268"/>
      <c r="N313" s="261"/>
      <c r="O313" s="1537"/>
      <c r="P313" s="1537"/>
    </row>
    <row r="314" spans="1:16" s="1924" customFormat="1" ht="18.75" hidden="1" customHeight="1">
      <c r="A314" s="1692" t="s">
        <v>238</v>
      </c>
      <c r="B314" s="1692" t="s">
        <v>239</v>
      </c>
      <c r="C314" s="298"/>
      <c r="D314" s="4904"/>
      <c r="E314" s="4713"/>
      <c r="F314" s="4848" t="str">
        <f>INDEX(PT_DIFFERENTIATION_VTAR,MATCH(A314,PT_DIFFERENTIATION_VTAR_ID,0))</f>
        <v>Тарифы на услуги по передаче тепловой энергии</v>
      </c>
      <c r="G314" s="4876" t="str">
        <f>INDEX(PT_DIFFERENTIATION_NTAR,MATCH(B314,PT_DIFFERENTIATION_NTAR_ID,0))</f>
        <v/>
      </c>
      <c r="H314" s="1774"/>
      <c r="I314" s="1650"/>
      <c r="J314" s="1685"/>
      <c r="K314" s="1690"/>
      <c r="L314" s="1774" t="s">
        <v>445</v>
      </c>
      <c r="M314" s="268"/>
      <c r="N314" s="261"/>
      <c r="O314" s="1537"/>
      <c r="P314" s="1537"/>
    </row>
    <row r="315" spans="1:16" s="1924" customFormat="1" ht="18.75" hidden="1" customHeight="1">
      <c r="A315" s="1692"/>
      <c r="B315" s="1692"/>
      <c r="C315" s="298" t="s">
        <v>1196</v>
      </c>
      <c r="D315" s="4904"/>
      <c r="E315" s="4713"/>
      <c r="F315" s="4848"/>
      <c r="G315" s="4876"/>
      <c r="H315" s="1411"/>
      <c r="I315" s="573" t="s">
        <v>1195</v>
      </c>
      <c r="J315" s="497"/>
      <c r="K315" s="1411"/>
      <c r="L315" s="135"/>
      <c r="M315" s="268"/>
      <c r="N315" s="261"/>
      <c r="O315" s="1537"/>
      <c r="P315" s="1537"/>
    </row>
    <row r="316" spans="1:16" s="1924" customFormat="1" ht="0.75" hidden="1" customHeight="1">
      <c r="A316" s="1692"/>
      <c r="B316" s="1692"/>
      <c r="C316" s="298" t="s">
        <v>1203</v>
      </c>
      <c r="D316" s="4904"/>
      <c r="E316" s="4713"/>
      <c r="F316" s="4848"/>
      <c r="G316" s="335"/>
      <c r="H316" s="1411"/>
      <c r="I316" s="573"/>
      <c r="J316" s="497"/>
      <c r="K316" s="1411"/>
      <c r="L316" s="135"/>
      <c r="M316" s="268"/>
      <c r="N316" s="261"/>
      <c r="O316" s="1537"/>
      <c r="P316" s="1537"/>
    </row>
    <row r="317" spans="1:16" s="1924" customFormat="1" ht="18.75" hidden="1" customHeight="1">
      <c r="A317" s="1692" t="s">
        <v>244</v>
      </c>
      <c r="B317" s="1692" t="s">
        <v>245</v>
      </c>
      <c r="C317" s="298"/>
      <c r="D317" s="4904"/>
      <c r="E317" s="4713"/>
      <c r="F317" s="4848" t="str">
        <f>INDEX(PT_DIFFERENTIATION_VTAR,MATCH(A317,PT_DIFFERENTIATION_VTAR_ID,0))</f>
        <v>Тарифы на услуги по передаче теплоносителя</v>
      </c>
      <c r="G317" s="4876" t="str">
        <f>INDEX(PT_DIFFERENTIATION_NTAR,MATCH(B317,PT_DIFFERENTIATION_NTAR_ID,0))</f>
        <v/>
      </c>
      <c r="H317" s="1774"/>
      <c r="I317" s="1650"/>
      <c r="J317" s="1685"/>
      <c r="K317" s="1690"/>
      <c r="L317" s="1774" t="s">
        <v>445</v>
      </c>
      <c r="M317" s="268"/>
      <c r="N317" s="261"/>
      <c r="O317" s="1537"/>
      <c r="P317" s="1537"/>
    </row>
    <row r="318" spans="1:16" s="1924" customFormat="1" ht="18.75" hidden="1" customHeight="1">
      <c r="A318" s="1692"/>
      <c r="B318" s="1692"/>
      <c r="C318" s="298" t="s">
        <v>1196</v>
      </c>
      <c r="D318" s="4904"/>
      <c r="E318" s="4713"/>
      <c r="F318" s="4848"/>
      <c r="G318" s="4876"/>
      <c r="H318" s="1411"/>
      <c r="I318" s="573" t="s">
        <v>1195</v>
      </c>
      <c r="J318" s="497"/>
      <c r="K318" s="1411"/>
      <c r="L318" s="135"/>
      <c r="M318" s="268"/>
      <c r="N318" s="261"/>
      <c r="O318" s="1537"/>
      <c r="P318" s="1537"/>
    </row>
    <row r="319" spans="1:16" s="1924" customFormat="1" ht="0.75" hidden="1" customHeight="1">
      <c r="A319" s="1692"/>
      <c r="B319" s="1692"/>
      <c r="C319" s="298" t="s">
        <v>1203</v>
      </c>
      <c r="D319" s="4904"/>
      <c r="E319" s="4713"/>
      <c r="F319" s="4848"/>
      <c r="G319" s="335"/>
      <c r="H319" s="1411"/>
      <c r="I319" s="573"/>
      <c r="J319" s="497"/>
      <c r="K319" s="1411"/>
      <c r="L319" s="135"/>
      <c r="M319" s="268"/>
      <c r="N319" s="261"/>
      <c r="O319" s="1537"/>
      <c r="P319" s="1537"/>
    </row>
    <row r="320" spans="1:16" s="1924" customFormat="1" ht="18.75" hidden="1" customHeight="1">
      <c r="A320" s="1692" t="s">
        <v>250</v>
      </c>
      <c r="B320" s="1692" t="s">
        <v>251</v>
      </c>
      <c r="C320" s="298"/>
      <c r="D320" s="4904"/>
      <c r="E320" s="4713"/>
      <c r="F320" s="4848" t="str">
        <f>INDEX(PT_DIFFERENTIATION_VTAR,MATCH(A320,PT_DIFFERENTIATION_VTAR_ID,0))</f>
        <v>Плата за услуги по поддержанию резервной тепловой мощности при отсутствии потребления тепловой энергии</v>
      </c>
      <c r="G320" s="4876" t="str">
        <f>INDEX(PT_DIFFERENTIATION_NTAR,MATCH(B320,PT_DIFFERENTIATION_NTAR_ID,0))</f>
        <v/>
      </c>
      <c r="H320" s="1774"/>
      <c r="I320" s="1650"/>
      <c r="J320" s="1685"/>
      <c r="K320" s="1690"/>
      <c r="L320" s="1774" t="s">
        <v>445</v>
      </c>
      <c r="M320" s="268"/>
      <c r="N320" s="261"/>
      <c r="O320" s="1537"/>
      <c r="P320" s="1537"/>
    </row>
    <row r="321" spans="1:16" s="1924" customFormat="1" ht="18.75" hidden="1" customHeight="1">
      <c r="A321" s="1692"/>
      <c r="B321" s="1692"/>
      <c r="C321" s="298" t="s">
        <v>1196</v>
      </c>
      <c r="D321" s="4904"/>
      <c r="E321" s="4713"/>
      <c r="F321" s="4848"/>
      <c r="G321" s="4876"/>
      <c r="H321" s="1411"/>
      <c r="I321" s="573" t="s">
        <v>1195</v>
      </c>
      <c r="J321" s="497"/>
      <c r="K321" s="1411"/>
      <c r="L321" s="135"/>
      <c r="M321" s="268"/>
      <c r="N321" s="261"/>
      <c r="O321" s="1537"/>
      <c r="P321" s="1537"/>
    </row>
    <row r="322" spans="1:16" s="1924" customFormat="1" ht="0.75" hidden="1" customHeight="1">
      <c r="A322" s="1692"/>
      <c r="B322" s="1692"/>
      <c r="C322" s="298" t="s">
        <v>1203</v>
      </c>
      <c r="D322" s="4904"/>
      <c r="E322" s="4713"/>
      <c r="F322" s="4848"/>
      <c r="G322" s="335"/>
      <c r="H322" s="1411"/>
      <c r="I322" s="573"/>
      <c r="J322" s="497"/>
      <c r="K322" s="1411"/>
      <c r="L322" s="135"/>
      <c r="M322" s="268"/>
      <c r="N322" s="261"/>
      <c r="O322" s="1537"/>
      <c r="P322" s="1537"/>
    </row>
    <row r="323" spans="1:16" s="1924" customFormat="1" ht="18.75" hidden="1" customHeight="1">
      <c r="A323" s="1692" t="s">
        <v>256</v>
      </c>
      <c r="B323" s="1692" t="s">
        <v>257</v>
      </c>
      <c r="C323" s="298"/>
      <c r="D323" s="4904"/>
      <c r="E323" s="4713"/>
      <c r="F323" s="4848" t="str">
        <f>INDEX(PT_DIFFERENTIATION_VTAR,MATCH(A323,PT_DIFFERENTIATION_VTAR_ID,0))</f>
        <v>Плата за подключение (технологическое присоединение) к системе теплоснабжения</v>
      </c>
      <c r="G323" s="4876" t="str">
        <f>INDEX(PT_DIFFERENTIATION_NTAR,MATCH(B323,PT_DIFFERENTIATION_NTAR_ID,0))</f>
        <v/>
      </c>
      <c r="H323" s="1774"/>
      <c r="I323" s="1650"/>
      <c r="J323" s="1685"/>
      <c r="K323" s="1690"/>
      <c r="L323" s="1774" t="s">
        <v>445</v>
      </c>
      <c r="M323" s="268"/>
      <c r="N323" s="261"/>
      <c r="O323" s="1537"/>
      <c r="P323" s="1537"/>
    </row>
    <row r="324" spans="1:16" s="1924" customFormat="1" ht="18.75" hidden="1" customHeight="1">
      <c r="A324" s="1692"/>
      <c r="B324" s="1692"/>
      <c r="C324" s="298" t="s">
        <v>1196</v>
      </c>
      <c r="D324" s="4904"/>
      <c r="E324" s="4713"/>
      <c r="F324" s="4848"/>
      <c r="G324" s="4876"/>
      <c r="H324" s="1411"/>
      <c r="I324" s="573" t="s">
        <v>1195</v>
      </c>
      <c r="J324" s="497"/>
      <c r="K324" s="1411"/>
      <c r="L324" s="135"/>
      <c r="M324" s="268"/>
      <c r="N324" s="261"/>
      <c r="O324" s="1537"/>
      <c r="P324" s="1537"/>
    </row>
    <row r="325" spans="1:16" s="1924" customFormat="1" ht="0.75" hidden="1" customHeight="1">
      <c r="A325" s="1692"/>
      <c r="B325" s="1692"/>
      <c r="C325" s="298" t="s">
        <v>1203</v>
      </c>
      <c r="D325" s="4904"/>
      <c r="E325" s="4713"/>
      <c r="F325" s="4848"/>
      <c r="G325" s="335"/>
      <c r="H325" s="1411"/>
      <c r="I325" s="573"/>
      <c r="J325" s="497"/>
      <c r="K325" s="1411"/>
      <c r="L325" s="135"/>
      <c r="M325" s="268"/>
      <c r="N325" s="261"/>
      <c r="O325" s="1537"/>
      <c r="P325" s="1537"/>
    </row>
    <row r="326" spans="1:16" s="1924" customFormat="1" ht="18.75" hidden="1" customHeight="1">
      <c r="A326" s="1692" t="s">
        <v>270</v>
      </c>
      <c r="B326" s="1692" t="s">
        <v>271</v>
      </c>
      <c r="C326" s="298"/>
      <c r="D326" s="4904"/>
      <c r="E326" s="4713"/>
      <c r="F326" s="4848" t="str">
        <f>INDEX(PT_DIFFERENTIATION_VTAR,MATCH(A326,PT_DIFFERENTIATION_VTAR_ID,0))</f>
        <v>Тариф на питьевую воду (питьевое водоснабжение)</v>
      </c>
      <c r="G326" s="4876" t="str">
        <f>INDEX(PT_DIFFERENTIATION_NTAR,MATCH(B326,PT_DIFFERENTIATION_NTAR_ID,0))</f>
        <v/>
      </c>
      <c r="H326" s="1774"/>
      <c r="I326" s="1650"/>
      <c r="J326" s="1685"/>
      <c r="K326" s="1690"/>
      <c r="L326" s="1774" t="s">
        <v>445</v>
      </c>
      <c r="M326" s="268"/>
      <c r="N326" s="261"/>
      <c r="O326" s="1537"/>
      <c r="P326" s="1537"/>
    </row>
    <row r="327" spans="1:16" s="1924" customFormat="1" ht="18.75" hidden="1" customHeight="1">
      <c r="A327" s="1692"/>
      <c r="B327" s="1692"/>
      <c r="C327" s="298" t="s">
        <v>1196</v>
      </c>
      <c r="D327" s="4904"/>
      <c r="E327" s="4713"/>
      <c r="F327" s="4848"/>
      <c r="G327" s="4876"/>
      <c r="H327" s="1411"/>
      <c r="I327" s="573" t="s">
        <v>1195</v>
      </c>
      <c r="J327" s="497"/>
      <c r="K327" s="1411"/>
      <c r="L327" s="135"/>
      <c r="M327" s="268"/>
      <c r="N327" s="261"/>
      <c r="O327" s="1537"/>
      <c r="P327" s="1537"/>
    </row>
    <row r="328" spans="1:16" s="1924" customFormat="1" ht="0.75" hidden="1" customHeight="1">
      <c r="A328" s="1692"/>
      <c r="B328" s="1692"/>
      <c r="C328" s="298" t="s">
        <v>1203</v>
      </c>
      <c r="D328" s="4904"/>
      <c r="E328" s="4713"/>
      <c r="F328" s="4848"/>
      <c r="G328" s="335"/>
      <c r="H328" s="1411"/>
      <c r="I328" s="573"/>
      <c r="J328" s="497"/>
      <c r="K328" s="1411"/>
      <c r="L328" s="135"/>
      <c r="M328" s="268"/>
      <c r="N328" s="261"/>
      <c r="O328" s="1537"/>
      <c r="P328" s="1537"/>
    </row>
    <row r="329" spans="1:16" s="1924" customFormat="1" ht="18.75" hidden="1" customHeight="1">
      <c r="A329" s="1692" t="s">
        <v>275</v>
      </c>
      <c r="B329" s="1692" t="s">
        <v>276</v>
      </c>
      <c r="C329" s="298"/>
      <c r="D329" s="4904"/>
      <c r="E329" s="4713"/>
      <c r="F329" s="4848" t="str">
        <f>INDEX(PT_DIFFERENTIATION_VTAR,MATCH(A329,PT_DIFFERENTIATION_VTAR_ID,0))</f>
        <v>Тариф на техническую воду</v>
      </c>
      <c r="G329" s="4876" t="str">
        <f>INDEX(PT_DIFFERENTIATION_NTAR,MATCH(B329,PT_DIFFERENTIATION_NTAR_ID,0))</f>
        <v/>
      </c>
      <c r="H329" s="1774"/>
      <c r="I329" s="1650"/>
      <c r="J329" s="1685"/>
      <c r="K329" s="1690"/>
      <c r="L329" s="1774" t="s">
        <v>445</v>
      </c>
      <c r="M329" s="268"/>
      <c r="N329" s="261"/>
      <c r="O329" s="1537"/>
      <c r="P329" s="1537"/>
    </row>
    <row r="330" spans="1:16" s="1924" customFormat="1" ht="18.75" hidden="1" customHeight="1">
      <c r="A330" s="1692"/>
      <c r="B330" s="1692"/>
      <c r="C330" s="298" t="s">
        <v>1196</v>
      </c>
      <c r="D330" s="4904"/>
      <c r="E330" s="4713"/>
      <c r="F330" s="4848"/>
      <c r="G330" s="4876"/>
      <c r="H330" s="1411"/>
      <c r="I330" s="573" t="s">
        <v>1195</v>
      </c>
      <c r="J330" s="497"/>
      <c r="K330" s="1411"/>
      <c r="L330" s="135"/>
      <c r="M330" s="268"/>
      <c r="N330" s="261"/>
      <c r="O330" s="1537"/>
      <c r="P330" s="1537"/>
    </row>
    <row r="331" spans="1:16" s="1924" customFormat="1" ht="0.75" hidden="1" customHeight="1">
      <c r="A331" s="1692"/>
      <c r="B331" s="1692"/>
      <c r="C331" s="298" t="s">
        <v>1203</v>
      </c>
      <c r="D331" s="4904"/>
      <c r="E331" s="4713"/>
      <c r="F331" s="4848"/>
      <c r="G331" s="335"/>
      <c r="H331" s="1411"/>
      <c r="I331" s="573"/>
      <c r="J331" s="497"/>
      <c r="K331" s="1411"/>
      <c r="L331" s="135"/>
      <c r="M331" s="268"/>
      <c r="N331" s="261"/>
      <c r="O331" s="1537"/>
      <c r="P331" s="1537"/>
    </row>
    <row r="332" spans="1:16" s="1924" customFormat="1" ht="18.75" hidden="1" customHeight="1">
      <c r="A332" s="1692" t="s">
        <v>280</v>
      </c>
      <c r="B332" s="1692" t="s">
        <v>281</v>
      </c>
      <c r="C332" s="298"/>
      <c r="D332" s="4904"/>
      <c r="E332" s="4713"/>
      <c r="F332" s="4848" t="str">
        <f>INDEX(PT_DIFFERENTIATION_VTAR,MATCH(A332,PT_DIFFERENTIATION_VTAR_ID,0))</f>
        <v>Тариф на транспортировку воды</v>
      </c>
      <c r="G332" s="4876" t="str">
        <f>INDEX(PT_DIFFERENTIATION_NTAR,MATCH(B332,PT_DIFFERENTIATION_NTAR_ID,0))</f>
        <v/>
      </c>
      <c r="H332" s="1774"/>
      <c r="I332" s="1650"/>
      <c r="J332" s="1685"/>
      <c r="K332" s="1690"/>
      <c r="L332" s="1774" t="s">
        <v>445</v>
      </c>
      <c r="M332" s="268"/>
      <c r="N332" s="261"/>
      <c r="O332" s="1537"/>
      <c r="P332" s="1537"/>
    </row>
    <row r="333" spans="1:16" s="1924" customFormat="1" ht="18.75" hidden="1" customHeight="1">
      <c r="A333" s="1692"/>
      <c r="B333" s="1692"/>
      <c r="C333" s="298" t="s">
        <v>1196</v>
      </c>
      <c r="D333" s="4904"/>
      <c r="E333" s="4713"/>
      <c r="F333" s="4848"/>
      <c r="G333" s="4876"/>
      <c r="H333" s="1411"/>
      <c r="I333" s="573" t="s">
        <v>1195</v>
      </c>
      <c r="J333" s="497"/>
      <c r="K333" s="1411"/>
      <c r="L333" s="135"/>
      <c r="M333" s="268"/>
      <c r="N333" s="261"/>
      <c r="O333" s="1537"/>
      <c r="P333" s="1537"/>
    </row>
    <row r="334" spans="1:16" s="1924" customFormat="1" ht="0.75" hidden="1" customHeight="1">
      <c r="A334" s="1692"/>
      <c r="B334" s="1692"/>
      <c r="C334" s="298" t="s">
        <v>1203</v>
      </c>
      <c r="D334" s="4904"/>
      <c r="E334" s="4713"/>
      <c r="F334" s="4848"/>
      <c r="G334" s="335"/>
      <c r="H334" s="1411"/>
      <c r="I334" s="573"/>
      <c r="J334" s="497"/>
      <c r="K334" s="1411"/>
      <c r="L334" s="135"/>
      <c r="M334" s="268"/>
      <c r="N334" s="261"/>
      <c r="O334" s="1537"/>
      <c r="P334" s="1537"/>
    </row>
    <row r="335" spans="1:16" s="1924" customFormat="1" ht="18.75" hidden="1" customHeight="1">
      <c r="A335" s="1692" t="s">
        <v>285</v>
      </c>
      <c r="B335" s="1692" t="s">
        <v>286</v>
      </c>
      <c r="C335" s="298"/>
      <c r="D335" s="4904"/>
      <c r="E335" s="4713"/>
      <c r="F335" s="4848" t="str">
        <f>INDEX(PT_DIFFERENTIATION_VTAR,MATCH(A335,PT_DIFFERENTIATION_VTAR_ID,0))</f>
        <v>Тариф на подвоз воды</v>
      </c>
      <c r="G335" s="4876" t="str">
        <f>INDEX(PT_DIFFERENTIATION_NTAR,MATCH(B335,PT_DIFFERENTIATION_NTAR_ID,0))</f>
        <v/>
      </c>
      <c r="H335" s="1774"/>
      <c r="I335" s="1650"/>
      <c r="J335" s="1685"/>
      <c r="K335" s="1690"/>
      <c r="L335" s="1774" t="s">
        <v>445</v>
      </c>
      <c r="M335" s="268"/>
      <c r="N335" s="261"/>
      <c r="O335" s="1537"/>
      <c r="P335" s="1537"/>
    </row>
    <row r="336" spans="1:16" s="1924" customFormat="1" ht="18.75" hidden="1" customHeight="1">
      <c r="A336" s="1692"/>
      <c r="B336" s="1692"/>
      <c r="C336" s="298" t="s">
        <v>1196</v>
      </c>
      <c r="D336" s="4904"/>
      <c r="E336" s="4713"/>
      <c r="F336" s="4848"/>
      <c r="G336" s="4876"/>
      <c r="H336" s="1411"/>
      <c r="I336" s="573" t="s">
        <v>1195</v>
      </c>
      <c r="J336" s="497"/>
      <c r="K336" s="1411"/>
      <c r="L336" s="135"/>
      <c r="M336" s="268"/>
      <c r="N336" s="261"/>
      <c r="O336" s="1537"/>
      <c r="P336" s="1537"/>
    </row>
    <row r="337" spans="1:16" s="1924" customFormat="1" ht="0.75" hidden="1" customHeight="1">
      <c r="A337" s="1692"/>
      <c r="B337" s="1692"/>
      <c r="C337" s="298" t="s">
        <v>1203</v>
      </c>
      <c r="D337" s="4904"/>
      <c r="E337" s="4713"/>
      <c r="F337" s="4848"/>
      <c r="G337" s="335"/>
      <c r="H337" s="1411"/>
      <c r="I337" s="573"/>
      <c r="J337" s="497"/>
      <c r="K337" s="1411"/>
      <c r="L337" s="135"/>
      <c r="M337" s="268"/>
      <c r="N337" s="261"/>
      <c r="O337" s="1537"/>
      <c r="P337" s="1537"/>
    </row>
    <row r="338" spans="1:16" s="1924" customFormat="1" ht="18.75" hidden="1" customHeight="1">
      <c r="A338" s="1692" t="s">
        <v>290</v>
      </c>
      <c r="B338" s="1692" t="s">
        <v>291</v>
      </c>
      <c r="C338" s="298"/>
      <c r="D338" s="4904"/>
      <c r="E338" s="4713"/>
      <c r="F338" s="4848" t="str">
        <f>INDEX(PT_DIFFERENTIATION_VTAR,MATCH(A338,PT_DIFFERENTIATION_VTAR_ID,0))</f>
        <v>Тариф на подключение (технологическое присоединение) к централизованной системе холодного водоснабжения</v>
      </c>
      <c r="G338" s="4876" t="str">
        <f>INDEX(PT_DIFFERENTIATION_NTAR,MATCH(B338,PT_DIFFERENTIATION_NTAR_ID,0))</f>
        <v/>
      </c>
      <c r="H338" s="1774"/>
      <c r="I338" s="1650"/>
      <c r="J338" s="1685"/>
      <c r="K338" s="1690"/>
      <c r="L338" s="1774" t="s">
        <v>445</v>
      </c>
      <c r="M338" s="268"/>
      <c r="N338" s="261"/>
      <c r="O338" s="1537"/>
      <c r="P338" s="1537"/>
    </row>
    <row r="339" spans="1:16" s="1924" customFormat="1" ht="18.75" hidden="1" customHeight="1">
      <c r="A339" s="1692"/>
      <c r="B339" s="1692"/>
      <c r="C339" s="298" t="s">
        <v>1196</v>
      </c>
      <c r="D339" s="4904"/>
      <c r="E339" s="4713"/>
      <c r="F339" s="4848"/>
      <c r="G339" s="4876"/>
      <c r="H339" s="1411"/>
      <c r="I339" s="573" t="s">
        <v>1195</v>
      </c>
      <c r="J339" s="497"/>
      <c r="K339" s="1411"/>
      <c r="L339" s="135"/>
      <c r="M339" s="268"/>
      <c r="N339" s="261"/>
      <c r="O339" s="1537"/>
      <c r="P339" s="1537"/>
    </row>
    <row r="340" spans="1:16" s="1924" customFormat="1" ht="0.75" hidden="1" customHeight="1">
      <c r="A340" s="1692"/>
      <c r="B340" s="1692"/>
      <c r="C340" s="298" t="s">
        <v>1203</v>
      </c>
      <c r="D340" s="4904"/>
      <c r="E340" s="4713"/>
      <c r="F340" s="4848"/>
      <c r="G340" s="335"/>
      <c r="H340" s="1411"/>
      <c r="I340" s="573"/>
      <c r="J340" s="497"/>
      <c r="K340" s="1411"/>
      <c r="L340" s="135"/>
      <c r="M340" s="268"/>
      <c r="N340" s="261"/>
      <c r="O340" s="1537"/>
      <c r="P340" s="1537"/>
    </row>
    <row r="341" spans="1:16" s="1924" customFormat="1" ht="18.75" hidden="1" customHeight="1">
      <c r="A341" s="1692" t="s">
        <v>295</v>
      </c>
      <c r="B341" s="1692" t="s">
        <v>296</v>
      </c>
      <c r="C341" s="298"/>
      <c r="D341" s="4904"/>
      <c r="E341" s="4713"/>
      <c r="F341" s="4848" t="str">
        <f>INDEX(PT_DIFFERENTIATION_VTAR,MATCH(A341,PT_DIFFERENTIATION_VTAR_ID,0))</f>
        <v>Тариф на горячую воду (горячее водоснабжение)</v>
      </c>
      <c r="G341" s="4876" t="str">
        <f>INDEX(PT_DIFFERENTIATION_NTAR,MATCH(B341,PT_DIFFERENTIATION_NTAR_ID,0))</f>
        <v/>
      </c>
      <c r="H341" s="1774"/>
      <c r="I341" s="1650"/>
      <c r="J341" s="1685"/>
      <c r="K341" s="1690"/>
      <c r="L341" s="1774" t="s">
        <v>445</v>
      </c>
      <c r="M341" s="268"/>
      <c r="N341" s="261"/>
      <c r="O341" s="1537"/>
      <c r="P341" s="1537"/>
    </row>
    <row r="342" spans="1:16" s="1924" customFormat="1" ht="18.75" hidden="1" customHeight="1">
      <c r="A342" s="1692"/>
      <c r="B342" s="1692"/>
      <c r="C342" s="298" t="s">
        <v>1196</v>
      </c>
      <c r="D342" s="4904"/>
      <c r="E342" s="4713"/>
      <c r="F342" s="4848"/>
      <c r="G342" s="4876"/>
      <c r="H342" s="1411"/>
      <c r="I342" s="573" t="s">
        <v>1195</v>
      </c>
      <c r="J342" s="497"/>
      <c r="K342" s="1411"/>
      <c r="L342" s="135"/>
      <c r="M342" s="268"/>
      <c r="N342" s="261"/>
      <c r="O342" s="1537"/>
      <c r="P342" s="1537"/>
    </row>
    <row r="343" spans="1:16" s="1924" customFormat="1" ht="0.75" hidden="1" customHeight="1">
      <c r="A343" s="1692"/>
      <c r="B343" s="1692"/>
      <c r="C343" s="298" t="s">
        <v>1203</v>
      </c>
      <c r="D343" s="4904"/>
      <c r="E343" s="4713"/>
      <c r="F343" s="4848"/>
      <c r="G343" s="335"/>
      <c r="H343" s="1411"/>
      <c r="I343" s="573"/>
      <c r="J343" s="497"/>
      <c r="K343" s="1411"/>
      <c r="L343" s="135"/>
      <c r="M343" s="268"/>
      <c r="N343" s="261"/>
      <c r="O343" s="1537"/>
      <c r="P343" s="1537"/>
    </row>
    <row r="344" spans="1:16" s="1924" customFormat="1" ht="18.75" hidden="1" customHeight="1">
      <c r="A344" s="1692" t="s">
        <v>300</v>
      </c>
      <c r="B344" s="1692" t="s">
        <v>301</v>
      </c>
      <c r="C344" s="298"/>
      <c r="D344" s="4904"/>
      <c r="E344" s="4713"/>
      <c r="F344" s="4848" t="str">
        <f>INDEX(PT_DIFFERENTIATION_VTAR,MATCH(A344,PT_DIFFERENTIATION_VTAR_ID,0))</f>
        <v>Тариф на транспортировку горячей воды</v>
      </c>
      <c r="G344" s="4876" t="str">
        <f>INDEX(PT_DIFFERENTIATION_NTAR,MATCH(B344,PT_DIFFERENTIATION_NTAR_ID,0))</f>
        <v/>
      </c>
      <c r="H344" s="1774"/>
      <c r="I344" s="1650"/>
      <c r="J344" s="1685"/>
      <c r="K344" s="1690"/>
      <c r="L344" s="1774" t="s">
        <v>445</v>
      </c>
      <c r="M344" s="268"/>
      <c r="N344" s="261"/>
      <c r="O344" s="1537"/>
      <c r="P344" s="1537"/>
    </row>
    <row r="345" spans="1:16" s="1924" customFormat="1" ht="18.75" hidden="1" customHeight="1">
      <c r="A345" s="1692"/>
      <c r="B345" s="1692"/>
      <c r="C345" s="298" t="s">
        <v>1196</v>
      </c>
      <c r="D345" s="4904"/>
      <c r="E345" s="4713"/>
      <c r="F345" s="4848"/>
      <c r="G345" s="4876"/>
      <c r="H345" s="1411"/>
      <c r="I345" s="573" t="s">
        <v>1195</v>
      </c>
      <c r="J345" s="497"/>
      <c r="K345" s="1411"/>
      <c r="L345" s="135"/>
      <c r="M345" s="268"/>
      <c r="N345" s="261"/>
      <c r="O345" s="1537"/>
      <c r="P345" s="1537"/>
    </row>
    <row r="346" spans="1:16" s="1924" customFormat="1" ht="0.75" hidden="1" customHeight="1">
      <c r="A346" s="1692"/>
      <c r="B346" s="1692"/>
      <c r="C346" s="298" t="s">
        <v>1203</v>
      </c>
      <c r="D346" s="4904"/>
      <c r="E346" s="4713"/>
      <c r="F346" s="4848"/>
      <c r="G346" s="335"/>
      <c r="H346" s="1411"/>
      <c r="I346" s="573"/>
      <c r="J346" s="497"/>
      <c r="K346" s="1411"/>
      <c r="L346" s="135"/>
      <c r="M346" s="268"/>
      <c r="N346" s="261"/>
      <c r="O346" s="1537"/>
      <c r="P346" s="1537"/>
    </row>
    <row r="347" spans="1:16" s="1924" customFormat="1" ht="18.75" hidden="1" customHeight="1">
      <c r="A347" s="1692" t="s">
        <v>305</v>
      </c>
      <c r="B347" s="1692" t="s">
        <v>306</v>
      </c>
      <c r="C347" s="298"/>
      <c r="D347" s="4904"/>
      <c r="E347" s="4713"/>
      <c r="F347" s="4848" t="str">
        <f>INDEX(PT_DIFFERENTIATION_VTAR,MATCH(A347,PT_DIFFERENTIATION_VTAR_ID,0))</f>
        <v>Тариф на подключение (технологическое присоединение) к централизованной системе горячего водоснабжения</v>
      </c>
      <c r="G347" s="4876" t="str">
        <f>INDEX(PT_DIFFERENTIATION_NTAR,MATCH(B347,PT_DIFFERENTIATION_NTAR_ID,0))</f>
        <v/>
      </c>
      <c r="H347" s="1774"/>
      <c r="I347" s="1650"/>
      <c r="J347" s="1685"/>
      <c r="K347" s="1690"/>
      <c r="L347" s="1774" t="s">
        <v>445</v>
      </c>
      <c r="M347" s="268"/>
      <c r="N347" s="261"/>
      <c r="O347" s="1537"/>
      <c r="P347" s="1537"/>
    </row>
    <row r="348" spans="1:16" s="1924" customFormat="1" ht="18.75" hidden="1" customHeight="1">
      <c r="A348" s="1692"/>
      <c r="B348" s="1692"/>
      <c r="C348" s="298" t="s">
        <v>1196</v>
      </c>
      <c r="D348" s="4904"/>
      <c r="E348" s="4713"/>
      <c r="F348" s="4848"/>
      <c r="G348" s="4876"/>
      <c r="H348" s="1411"/>
      <c r="I348" s="573" t="s">
        <v>1195</v>
      </c>
      <c r="J348" s="497"/>
      <c r="K348" s="1411"/>
      <c r="L348" s="135"/>
      <c r="M348" s="268"/>
      <c r="N348" s="261"/>
      <c r="O348" s="1537"/>
      <c r="P348" s="1537"/>
    </row>
    <row r="349" spans="1:16" s="1924" customFormat="1" ht="0.75" hidden="1" customHeight="1">
      <c r="A349" s="1692"/>
      <c r="B349" s="1692"/>
      <c r="C349" s="298" t="s">
        <v>1203</v>
      </c>
      <c r="D349" s="4904"/>
      <c r="E349" s="4713"/>
      <c r="F349" s="4848"/>
      <c r="G349" s="335"/>
      <c r="H349" s="1411"/>
      <c r="I349" s="573"/>
      <c r="J349" s="497"/>
      <c r="K349" s="1411"/>
      <c r="L349" s="135"/>
      <c r="M349" s="268"/>
      <c r="N349" s="261"/>
      <c r="O349" s="1537"/>
      <c r="P349" s="1537"/>
    </row>
    <row r="350" spans="1:16" s="1924" customFormat="1" ht="18.75" hidden="1" customHeight="1">
      <c r="A350" s="1692" t="s">
        <v>312</v>
      </c>
      <c r="B350" s="1692" t="s">
        <v>313</v>
      </c>
      <c r="C350" s="298"/>
      <c r="D350" s="4904"/>
      <c r="E350" s="4713"/>
      <c r="F350" s="4848" t="str">
        <f>INDEX(PT_DIFFERENTIATION_VTAR,MATCH(A350,PT_DIFFERENTIATION_VTAR_ID,0))</f>
        <v>Тариф на водоотведение</v>
      </c>
      <c r="G350" s="4876" t="str">
        <f>INDEX(PT_DIFFERENTIATION_NTAR,MATCH(B350,PT_DIFFERENTIATION_NTAR_ID,0))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H350" s="1774"/>
      <c r="I350" s="1650"/>
      <c r="J350" s="1685"/>
      <c r="K350" s="1690"/>
      <c r="L350" s="1774" t="s">
        <v>445</v>
      </c>
      <c r="M350" s="268"/>
      <c r="N350" s="261"/>
      <c r="O350" s="1537"/>
      <c r="P350" s="1537"/>
    </row>
    <row r="351" spans="1:16" s="1924" customFormat="1" ht="18.75" hidden="1" customHeight="1">
      <c r="A351" s="1692"/>
      <c r="B351" s="1692"/>
      <c r="C351" s="298" t="s">
        <v>1196</v>
      </c>
      <c r="D351" s="4904"/>
      <c r="E351" s="4713"/>
      <c r="F351" s="4848"/>
      <c r="G351" s="4876"/>
      <c r="H351" s="1411"/>
      <c r="I351" s="573" t="s">
        <v>1195</v>
      </c>
      <c r="J351" s="497"/>
      <c r="K351" s="1411"/>
      <c r="L351" s="135"/>
      <c r="M351" s="268"/>
      <c r="N351" s="261"/>
      <c r="O351" s="1537"/>
      <c r="P351" s="1537"/>
    </row>
    <row r="352" spans="1:16" s="4110" customFormat="1" ht="18.75" customHeight="1">
      <c r="A352" s="2041" t="s">
        <v>312</v>
      </c>
      <c r="B352" s="2041" t="s">
        <v>319</v>
      </c>
      <c r="C352" s="4103"/>
      <c r="D352" s="4905"/>
      <c r="E352" s="4906"/>
      <c r="F352" s="4906"/>
      <c r="G352" s="4876" t="str">
        <f>INDEX(PT_DIFFERENTIATION_NTAR,MATCH(B352,PT_DIFFERENTIATION_NTAR_ID,0))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H352" s="4104"/>
      <c r="I352" s="4105"/>
      <c r="J352" s="4106"/>
      <c r="K352" s="4196"/>
      <c r="L352" s="4104" t="s">
        <v>445</v>
      </c>
      <c r="M352" s="4108"/>
      <c r="N352" s="4109"/>
      <c r="O352" s="1979"/>
      <c r="P352" s="1979"/>
    </row>
    <row r="353" spans="1:16" s="4110" customFormat="1" ht="18.75" customHeight="1">
      <c r="A353" s="2041"/>
      <c r="B353" s="2041"/>
      <c r="C353" s="4103" t="s">
        <v>1196</v>
      </c>
      <c r="D353" s="4905"/>
      <c r="E353" s="4906"/>
      <c r="F353" s="4906"/>
      <c r="G353" s="4876"/>
      <c r="H353" s="4367"/>
      <c r="I353" s="4368" t="s">
        <v>1195</v>
      </c>
      <c r="J353" s="4369"/>
      <c r="K353" s="4370"/>
      <c r="L353" s="4371"/>
      <c r="M353" s="4108"/>
      <c r="N353" s="4109"/>
      <c r="O353" s="1979"/>
      <c r="P353" s="1979"/>
    </row>
    <row r="354" spans="1:16" s="4110" customFormat="1" ht="18.75" customHeight="1">
      <c r="A354" s="2041" t="s">
        <v>312</v>
      </c>
      <c r="B354" s="2041" t="s">
        <v>324</v>
      </c>
      <c r="C354" s="4103"/>
      <c r="D354" s="4905"/>
      <c r="E354" s="4906"/>
      <c r="F354" s="4906"/>
      <c r="G354" s="4876" t="str">
        <f>INDEX(PT_DIFFERENTIATION_NTAR,MATCH(B354,PT_DIFFERENTIATION_NTAR_ID,0))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H354" s="4104"/>
      <c r="I354" s="4105"/>
      <c r="J354" s="4106"/>
      <c r="K354" s="4196"/>
      <c r="L354" s="4104" t="s">
        <v>445</v>
      </c>
      <c r="M354" s="4108"/>
      <c r="N354" s="4109"/>
      <c r="O354" s="1979"/>
      <c r="P354" s="1979"/>
    </row>
    <row r="355" spans="1:16" s="4110" customFormat="1" ht="18.75" customHeight="1">
      <c r="A355" s="2041"/>
      <c r="B355" s="2041"/>
      <c r="C355" s="4103" t="s">
        <v>1196</v>
      </c>
      <c r="D355" s="4905"/>
      <c r="E355" s="4906"/>
      <c r="F355" s="4906"/>
      <c r="G355" s="4876"/>
      <c r="H355" s="4372"/>
      <c r="I355" s="4373" t="s">
        <v>1195</v>
      </c>
      <c r="J355" s="4374"/>
      <c r="K355" s="4375"/>
      <c r="L355" s="4376"/>
      <c r="M355" s="4108"/>
      <c r="N355" s="4109"/>
      <c r="O355" s="1979"/>
      <c r="P355" s="1979"/>
    </row>
    <row r="356" spans="1:16" s="4110" customFormat="1" ht="18.75" customHeight="1">
      <c r="A356" s="2041" t="s">
        <v>312</v>
      </c>
      <c r="B356" s="2041" t="s">
        <v>329</v>
      </c>
      <c r="C356" s="4103"/>
      <c r="D356" s="4905"/>
      <c r="E356" s="4906"/>
      <c r="F356" s="4906"/>
      <c r="G356" s="4876" t="str">
        <f>INDEX(PT_DIFFERENTIATION_NTAR,MATCH(B356,PT_DIFFERENTIATION_NTAR_ID,0))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H356" s="4104"/>
      <c r="I356" s="4105"/>
      <c r="J356" s="4106"/>
      <c r="K356" s="4196"/>
      <c r="L356" s="4104" t="s">
        <v>445</v>
      </c>
      <c r="M356" s="4108"/>
      <c r="N356" s="4109"/>
      <c r="O356" s="1979"/>
      <c r="P356" s="1979"/>
    </row>
    <row r="357" spans="1:16" s="4110" customFormat="1" ht="18.75" customHeight="1">
      <c r="A357" s="2041"/>
      <c r="B357" s="2041"/>
      <c r="C357" s="4103" t="s">
        <v>1196</v>
      </c>
      <c r="D357" s="4905"/>
      <c r="E357" s="4906"/>
      <c r="F357" s="4906"/>
      <c r="G357" s="4876"/>
      <c r="H357" s="4377"/>
      <c r="I357" s="4378" t="s">
        <v>1195</v>
      </c>
      <c r="J357" s="4379"/>
      <c r="K357" s="4380"/>
      <c r="L357" s="4381"/>
      <c r="M357" s="4108"/>
      <c r="N357" s="4109"/>
      <c r="O357" s="1979"/>
      <c r="P357" s="1979"/>
    </row>
    <row r="358" spans="1:16" s="4110" customFormat="1" ht="18.75" customHeight="1">
      <c r="A358" s="2041" t="s">
        <v>312</v>
      </c>
      <c r="B358" s="2041" t="s">
        <v>334</v>
      </c>
      <c r="C358" s="4103"/>
      <c r="D358" s="4905"/>
      <c r="E358" s="4906"/>
      <c r="F358" s="4906"/>
      <c r="G358" s="4876" t="str">
        <f>INDEX(PT_DIFFERENTIATION_NTAR,MATCH(B358,PT_DIFFERENTIATION_NTAR_ID,0))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H358" s="4104"/>
      <c r="I358" s="4105"/>
      <c r="J358" s="4106"/>
      <c r="K358" s="4196"/>
      <c r="L358" s="4104" t="s">
        <v>445</v>
      </c>
      <c r="M358" s="4108"/>
      <c r="N358" s="4109"/>
      <c r="O358" s="1979"/>
      <c r="P358" s="1979"/>
    </row>
    <row r="359" spans="1:16" s="4110" customFormat="1" ht="18.75" customHeight="1">
      <c r="A359" s="2041"/>
      <c r="B359" s="2041"/>
      <c r="C359" s="4103" t="s">
        <v>1196</v>
      </c>
      <c r="D359" s="4905"/>
      <c r="E359" s="4906"/>
      <c r="F359" s="4906"/>
      <c r="G359" s="4876"/>
      <c r="H359" s="4382"/>
      <c r="I359" s="4383" t="s">
        <v>1195</v>
      </c>
      <c r="J359" s="4384"/>
      <c r="K359" s="4385"/>
      <c r="L359" s="4386"/>
      <c r="M359" s="4108"/>
      <c r="N359" s="4109"/>
      <c r="O359" s="1979"/>
      <c r="P359" s="1979"/>
    </row>
    <row r="360" spans="1:16" s="4110" customFormat="1" ht="18.75" customHeight="1">
      <c r="A360" s="2041" t="s">
        <v>312</v>
      </c>
      <c r="B360" s="2041" t="s">
        <v>339</v>
      </c>
      <c r="C360" s="4103"/>
      <c r="D360" s="4905"/>
      <c r="E360" s="4906"/>
      <c r="F360" s="4906"/>
      <c r="G360" s="4876" t="str">
        <f>INDEX(PT_DIFFERENTIATION_NTAR,MATCH(B360,PT_DIFFERENTIATION_NTAR_ID,0))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H360" s="4104"/>
      <c r="I360" s="4105"/>
      <c r="J360" s="4106"/>
      <c r="K360" s="4196"/>
      <c r="L360" s="4104" t="s">
        <v>445</v>
      </c>
      <c r="M360" s="4108"/>
      <c r="N360" s="4109"/>
      <c r="O360" s="1979"/>
      <c r="P360" s="1979"/>
    </row>
    <row r="361" spans="1:16" s="4110" customFormat="1" ht="18.75" customHeight="1">
      <c r="A361" s="2041"/>
      <c r="B361" s="2041"/>
      <c r="C361" s="4103" t="s">
        <v>1196</v>
      </c>
      <c r="D361" s="4905"/>
      <c r="E361" s="4906"/>
      <c r="F361" s="4906"/>
      <c r="G361" s="4876"/>
      <c r="H361" s="4387"/>
      <c r="I361" s="4388" t="s">
        <v>1195</v>
      </c>
      <c r="J361" s="4389"/>
      <c r="K361" s="4390"/>
      <c r="L361" s="4391"/>
      <c r="M361" s="4108"/>
      <c r="N361" s="4109"/>
      <c r="O361" s="1979"/>
      <c r="P361" s="1979"/>
    </row>
    <row r="362" spans="1:16" s="4110" customFormat="1" ht="18.75" customHeight="1">
      <c r="A362" s="2041" t="s">
        <v>312</v>
      </c>
      <c r="B362" s="2041" t="s">
        <v>344</v>
      </c>
      <c r="C362" s="4103"/>
      <c r="D362" s="4905"/>
      <c r="E362" s="4906"/>
      <c r="F362" s="4906"/>
      <c r="G362" s="4876" t="str">
        <f>INDEX(PT_DIFFERENTIATION_NTAR,MATCH(B362,PT_DIFFERENTIATION_NTAR_ID,0))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H362" s="4104"/>
      <c r="I362" s="4105"/>
      <c r="J362" s="4106"/>
      <c r="K362" s="4196"/>
      <c r="L362" s="4104" t="s">
        <v>445</v>
      </c>
      <c r="M362" s="4108"/>
      <c r="N362" s="4109"/>
      <c r="O362" s="1979"/>
      <c r="P362" s="1979"/>
    </row>
    <row r="363" spans="1:16" s="4110" customFormat="1" ht="18.75" customHeight="1">
      <c r="A363" s="2041"/>
      <c r="B363" s="2041"/>
      <c r="C363" s="4103" t="s">
        <v>1196</v>
      </c>
      <c r="D363" s="4905"/>
      <c r="E363" s="4906"/>
      <c r="F363" s="4906"/>
      <c r="G363" s="4876"/>
      <c r="H363" s="4392"/>
      <c r="I363" s="4393" t="s">
        <v>1195</v>
      </c>
      <c r="J363" s="4394"/>
      <c r="K363" s="4395"/>
      <c r="L363" s="4396"/>
      <c r="M363" s="4108"/>
      <c r="N363" s="4109"/>
      <c r="O363" s="1979"/>
      <c r="P363" s="1979"/>
    </row>
    <row r="364" spans="1:16" s="4110" customFormat="1" ht="18.75" customHeight="1">
      <c r="A364" s="2041" t="s">
        <v>312</v>
      </c>
      <c r="B364" s="2041" t="s">
        <v>349</v>
      </c>
      <c r="C364" s="4103"/>
      <c r="D364" s="4905"/>
      <c r="E364" s="4906"/>
      <c r="F364" s="4906"/>
      <c r="G364" s="4876" t="str">
        <f>INDEX(PT_DIFFERENTIATION_NTAR,MATCH(B364,PT_DIFFERENTIATION_NTAR_ID,0))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H364" s="4104"/>
      <c r="I364" s="4105"/>
      <c r="J364" s="4106"/>
      <c r="K364" s="4196"/>
      <c r="L364" s="4104" t="s">
        <v>445</v>
      </c>
      <c r="M364" s="4108"/>
      <c r="N364" s="4109"/>
      <c r="O364" s="1979"/>
      <c r="P364" s="1979"/>
    </row>
    <row r="365" spans="1:16" s="4110" customFormat="1" ht="18.75" customHeight="1">
      <c r="A365" s="2041"/>
      <c r="B365" s="2041"/>
      <c r="C365" s="4103" t="s">
        <v>1196</v>
      </c>
      <c r="D365" s="4905"/>
      <c r="E365" s="4906"/>
      <c r="F365" s="4906"/>
      <c r="G365" s="4876"/>
      <c r="H365" s="4397"/>
      <c r="I365" s="4398" t="s">
        <v>1195</v>
      </c>
      <c r="J365" s="4399"/>
      <c r="K365" s="4400"/>
      <c r="L365" s="4401"/>
      <c r="M365" s="4108"/>
      <c r="N365" s="4109"/>
      <c r="O365" s="1979"/>
      <c r="P365" s="1979"/>
    </row>
    <row r="366" spans="1:16" s="4110" customFormat="1" ht="18.75" customHeight="1">
      <c r="A366" s="2041" t="s">
        <v>312</v>
      </c>
      <c r="B366" s="2041" t="s">
        <v>354</v>
      </c>
      <c r="C366" s="4103"/>
      <c r="D366" s="4905"/>
      <c r="E366" s="4906"/>
      <c r="F366" s="4906"/>
      <c r="G366" s="4876" t="str">
        <f>INDEX(PT_DIFFERENTIATION_NTAR,MATCH(B366,PT_DIFFERENTIATION_NTAR_ID,0))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H366" s="4104"/>
      <c r="I366" s="4105"/>
      <c r="J366" s="4106"/>
      <c r="K366" s="4196"/>
      <c r="L366" s="4104" t="s">
        <v>445</v>
      </c>
      <c r="M366" s="4108"/>
      <c r="N366" s="4109"/>
      <c r="O366" s="1979"/>
      <c r="P366" s="1979"/>
    </row>
    <row r="367" spans="1:16" s="4110" customFormat="1" ht="18.75" customHeight="1">
      <c r="A367" s="2041"/>
      <c r="B367" s="2041"/>
      <c r="C367" s="4103" t="s">
        <v>1196</v>
      </c>
      <c r="D367" s="4905"/>
      <c r="E367" s="4906"/>
      <c r="F367" s="4906"/>
      <c r="G367" s="4876"/>
      <c r="H367" s="4402"/>
      <c r="I367" s="4403" t="s">
        <v>1195</v>
      </c>
      <c r="J367" s="4404"/>
      <c r="K367" s="4405"/>
      <c r="L367" s="4406"/>
      <c r="M367" s="4108"/>
      <c r="N367" s="4109"/>
      <c r="O367" s="1979"/>
      <c r="P367" s="1979"/>
    </row>
    <row r="368" spans="1:16" s="4110" customFormat="1" ht="18.75" customHeight="1">
      <c r="A368" s="2041" t="s">
        <v>312</v>
      </c>
      <c r="B368" s="2041" t="s">
        <v>359</v>
      </c>
      <c r="C368" s="4103"/>
      <c r="D368" s="4905"/>
      <c r="E368" s="4906"/>
      <c r="F368" s="4906"/>
      <c r="G368" s="4876" t="str">
        <f>INDEX(PT_DIFFERENTIATION_NTAR,MATCH(B368,PT_DIFFERENTIATION_NTAR_ID,0))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H368" s="4104"/>
      <c r="I368" s="4105"/>
      <c r="J368" s="4106"/>
      <c r="K368" s="4196"/>
      <c r="L368" s="4104" t="s">
        <v>445</v>
      </c>
      <c r="M368" s="4108"/>
      <c r="N368" s="4109"/>
      <c r="O368" s="1979"/>
      <c r="P368" s="1979"/>
    </row>
    <row r="369" spans="1:16" s="4110" customFormat="1" ht="18.75" customHeight="1">
      <c r="A369" s="2041"/>
      <c r="B369" s="2041"/>
      <c r="C369" s="4103" t="s">
        <v>1196</v>
      </c>
      <c r="D369" s="4905"/>
      <c r="E369" s="4906"/>
      <c r="F369" s="4906"/>
      <c r="G369" s="4876"/>
      <c r="H369" s="4407"/>
      <c r="I369" s="4408" t="s">
        <v>1195</v>
      </c>
      <c r="J369" s="4409"/>
      <c r="K369" s="4410"/>
      <c r="L369" s="4411"/>
      <c r="M369" s="4108"/>
      <c r="N369" s="4109"/>
      <c r="O369" s="1979"/>
      <c r="P369" s="1979"/>
    </row>
    <row r="370" spans="1:16" s="4110" customFormat="1" ht="18.75" customHeight="1">
      <c r="A370" s="2041" t="s">
        <v>312</v>
      </c>
      <c r="B370" s="2041" t="s">
        <v>364</v>
      </c>
      <c r="C370" s="4103"/>
      <c r="D370" s="4905"/>
      <c r="E370" s="4906"/>
      <c r="F370" s="4906"/>
      <c r="G370" s="4876" t="str">
        <f>INDEX(PT_DIFFERENTIATION_NTAR,MATCH(B370,PT_DIFFERENTIATION_NTAR_ID,0))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H370" s="4104"/>
      <c r="I370" s="4105"/>
      <c r="J370" s="4106"/>
      <c r="K370" s="4196"/>
      <c r="L370" s="4104" t="s">
        <v>445</v>
      </c>
      <c r="M370" s="4108"/>
      <c r="N370" s="4109"/>
      <c r="O370" s="1979"/>
      <c r="P370" s="1979"/>
    </row>
    <row r="371" spans="1:16" s="4110" customFormat="1" ht="18.75" customHeight="1">
      <c r="A371" s="2041"/>
      <c r="B371" s="2041"/>
      <c r="C371" s="4103" t="s">
        <v>1196</v>
      </c>
      <c r="D371" s="4905"/>
      <c r="E371" s="4906"/>
      <c r="F371" s="4906"/>
      <c r="G371" s="4876"/>
      <c r="H371" s="4412"/>
      <c r="I371" s="4413" t="s">
        <v>1195</v>
      </c>
      <c r="J371" s="4414"/>
      <c r="K371" s="4415"/>
      <c r="L371" s="4416"/>
      <c r="M371" s="4108"/>
      <c r="N371" s="4109"/>
      <c r="O371" s="1979"/>
      <c r="P371" s="1979"/>
    </row>
    <row r="372" spans="1:16" s="4110" customFormat="1" ht="18.75" customHeight="1">
      <c r="A372" s="2041" t="s">
        <v>312</v>
      </c>
      <c r="B372" s="2041" t="s">
        <v>369</v>
      </c>
      <c r="C372" s="4103"/>
      <c r="D372" s="4905"/>
      <c r="E372" s="4906"/>
      <c r="F372" s="4906"/>
      <c r="G372" s="4876" t="str">
        <f>INDEX(PT_DIFFERENTIATION_NTAR,MATCH(B372,PT_DIFFERENTIATION_NTAR_ID,0))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H372" s="4104"/>
      <c r="I372" s="4105"/>
      <c r="J372" s="4106"/>
      <c r="K372" s="4196"/>
      <c r="L372" s="4104" t="s">
        <v>445</v>
      </c>
      <c r="M372" s="4108"/>
      <c r="N372" s="4109"/>
      <c r="O372" s="1979"/>
      <c r="P372" s="1979"/>
    </row>
    <row r="373" spans="1:16" s="4110" customFormat="1" ht="18.75" customHeight="1">
      <c r="A373" s="2041"/>
      <c r="B373" s="2041"/>
      <c r="C373" s="4103" t="s">
        <v>1196</v>
      </c>
      <c r="D373" s="4905"/>
      <c r="E373" s="4906"/>
      <c r="F373" s="4906"/>
      <c r="G373" s="4876"/>
      <c r="H373" s="4417"/>
      <c r="I373" s="4418" t="s">
        <v>1195</v>
      </c>
      <c r="J373" s="4419"/>
      <c r="K373" s="4420"/>
      <c r="L373" s="4421"/>
      <c r="M373" s="4108"/>
      <c r="N373" s="4109"/>
      <c r="O373" s="1979"/>
      <c r="P373" s="1979"/>
    </row>
    <row r="374" spans="1:16" s="4110" customFormat="1" ht="18.75" customHeight="1">
      <c r="A374" s="2041" t="s">
        <v>312</v>
      </c>
      <c r="B374" s="2041" t="s">
        <v>374</v>
      </c>
      <c r="C374" s="4103"/>
      <c r="D374" s="4905"/>
      <c r="E374" s="4906"/>
      <c r="F374" s="4906"/>
      <c r="G374" s="4876" t="str">
        <f>INDEX(PT_DIFFERENTIATION_NTAR,MATCH(B374,PT_DIFFERENTIATION_NTAR_ID,0))</f>
        <v>С использованием централизованной системы водоотведения на территории села Криуши МО "Город Новоульяновск" Ульяновской области</v>
      </c>
      <c r="H374" s="4104"/>
      <c r="I374" s="4105"/>
      <c r="J374" s="4106"/>
      <c r="K374" s="4196"/>
      <c r="L374" s="4104" t="s">
        <v>445</v>
      </c>
      <c r="M374" s="4108"/>
      <c r="N374" s="4109"/>
      <c r="O374" s="1979"/>
      <c r="P374" s="1979"/>
    </row>
    <row r="375" spans="1:16" s="4110" customFormat="1" ht="18.75" customHeight="1">
      <c r="A375" s="2041"/>
      <c r="B375" s="2041"/>
      <c r="C375" s="4103" t="s">
        <v>1196</v>
      </c>
      <c r="D375" s="4905"/>
      <c r="E375" s="4906"/>
      <c r="F375" s="4906"/>
      <c r="G375" s="4876"/>
      <c r="H375" s="4422"/>
      <c r="I375" s="4423" t="s">
        <v>1195</v>
      </c>
      <c r="J375" s="4424"/>
      <c r="K375" s="4425"/>
      <c r="L375" s="4426"/>
      <c r="M375" s="4108"/>
      <c r="N375" s="4109"/>
      <c r="O375" s="1979"/>
      <c r="P375" s="1979"/>
    </row>
    <row r="376" spans="1:16" s="4110" customFormat="1" ht="18.75" customHeight="1">
      <c r="A376" s="2041" t="s">
        <v>312</v>
      </c>
      <c r="B376" s="2041" t="s">
        <v>379</v>
      </c>
      <c r="C376" s="4103"/>
      <c r="D376" s="4905"/>
      <c r="E376" s="4906"/>
      <c r="F376" s="4906"/>
      <c r="G376" s="4876" t="str">
        <f>INDEX(PT_DIFFERENTIATION_NTAR,MATCH(B376,PT_DIFFERENTIATION_NTAR_ID,0))</f>
        <v>С использованием централизованной системы водоотведения на территории посёлка Липки МО "Город Новоульяновск Ульяновской области</v>
      </c>
      <c r="H376" s="4104"/>
      <c r="I376" s="4105"/>
      <c r="J376" s="4106"/>
      <c r="K376" s="4196"/>
      <c r="L376" s="4104" t="s">
        <v>445</v>
      </c>
      <c r="M376" s="4108"/>
      <c r="N376" s="4109"/>
      <c r="O376" s="1979"/>
      <c r="P376" s="1979"/>
    </row>
    <row r="377" spans="1:16" s="4110" customFormat="1" ht="18.75" customHeight="1">
      <c r="A377" s="2041"/>
      <c r="B377" s="2041"/>
      <c r="C377" s="4103" t="s">
        <v>1196</v>
      </c>
      <c r="D377" s="4905"/>
      <c r="E377" s="4906"/>
      <c r="F377" s="4906"/>
      <c r="G377" s="4876"/>
      <c r="H377" s="4427"/>
      <c r="I377" s="4428" t="s">
        <v>1195</v>
      </c>
      <c r="J377" s="4429"/>
      <c r="K377" s="4430"/>
      <c r="L377" s="4431"/>
      <c r="M377" s="4108"/>
      <c r="N377" s="4109"/>
      <c r="O377" s="1979"/>
      <c r="P377" s="1979"/>
    </row>
    <row r="378" spans="1:16" s="4110" customFormat="1" ht="18.75" customHeight="1">
      <c r="A378" s="2041" t="s">
        <v>312</v>
      </c>
      <c r="B378" s="2041" t="s">
        <v>385</v>
      </c>
      <c r="C378" s="4103"/>
      <c r="D378" s="4905"/>
      <c r="E378" s="4906"/>
      <c r="F378" s="4906"/>
      <c r="G378" s="4876" t="str">
        <f>INDEX(PT_DIFFERENTIATION_NTAR,MATCH(B378,PT_DIFFERENTIATION_NTAR_ID,0))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H378" s="4104"/>
      <c r="I378" s="4105"/>
      <c r="J378" s="4106"/>
      <c r="K378" s="4196"/>
      <c r="L378" s="4104" t="s">
        <v>445</v>
      </c>
      <c r="M378" s="4108"/>
      <c r="N378" s="4109"/>
      <c r="O378" s="1979"/>
      <c r="P378" s="1979"/>
    </row>
    <row r="379" spans="1:16" s="4110" customFormat="1" ht="18.75" customHeight="1">
      <c r="A379" s="2041"/>
      <c r="B379" s="2041"/>
      <c r="C379" s="4103" t="s">
        <v>1196</v>
      </c>
      <c r="D379" s="4905"/>
      <c r="E379" s="4906"/>
      <c r="F379" s="4906"/>
      <c r="G379" s="4876"/>
      <c r="H379" s="4432"/>
      <c r="I379" s="4433" t="s">
        <v>1195</v>
      </c>
      <c r="J379" s="4434"/>
      <c r="K379" s="4435"/>
      <c r="L379" s="4436"/>
      <c r="M379" s="4108"/>
      <c r="N379" s="4109"/>
      <c r="O379" s="1979"/>
      <c r="P379" s="1979"/>
    </row>
    <row r="380" spans="1:16" s="4110" customFormat="1" ht="18.75" customHeight="1">
      <c r="A380" s="2041" t="s">
        <v>312</v>
      </c>
      <c r="B380" s="2041" t="s">
        <v>391</v>
      </c>
      <c r="C380" s="4103"/>
      <c r="D380" s="4905"/>
      <c r="E380" s="4906"/>
      <c r="F380" s="4906"/>
      <c r="G380" s="4876" t="str">
        <f>INDEX(PT_DIFFERENTIATION_NTAR,MATCH(B380,PT_DIFFERENTIATION_NTAR_ID,0))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H380" s="4104"/>
      <c r="I380" s="4105"/>
      <c r="J380" s="4106"/>
      <c r="K380" s="4196"/>
      <c r="L380" s="4104" t="s">
        <v>445</v>
      </c>
      <c r="M380" s="4108"/>
      <c r="N380" s="4109"/>
      <c r="O380" s="1979"/>
      <c r="P380" s="1979"/>
    </row>
    <row r="381" spans="1:16" s="4110" customFormat="1" ht="18.75" customHeight="1">
      <c r="A381" s="2041"/>
      <c r="B381" s="2041"/>
      <c r="C381" s="4103" t="s">
        <v>1196</v>
      </c>
      <c r="D381" s="4905"/>
      <c r="E381" s="4906"/>
      <c r="F381" s="4906"/>
      <c r="G381" s="4876"/>
      <c r="H381" s="4437"/>
      <c r="I381" s="4438" t="s">
        <v>1195</v>
      </c>
      <c r="J381" s="4439"/>
      <c r="K381" s="4440"/>
      <c r="L381" s="4441"/>
      <c r="M381" s="4108"/>
      <c r="N381" s="4109"/>
      <c r="O381" s="1979"/>
      <c r="P381" s="1979"/>
    </row>
    <row r="382" spans="1:16" s="4110" customFormat="1" ht="18.75" customHeight="1">
      <c r="A382" s="2041" t="s">
        <v>312</v>
      </c>
      <c r="B382" s="2041" t="s">
        <v>397</v>
      </c>
      <c r="C382" s="4103"/>
      <c r="D382" s="4905"/>
      <c r="E382" s="4906"/>
      <c r="F382" s="4906"/>
      <c r="G382" s="4876" t="str">
        <f>INDEX(PT_DIFFERENTIATION_NTAR,MATCH(B382,PT_DIFFERENTIATION_NTAR_ID,0))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H382" s="4104"/>
      <c r="I382" s="4105"/>
      <c r="J382" s="4106"/>
      <c r="K382" s="4196"/>
      <c r="L382" s="4104" t="s">
        <v>445</v>
      </c>
      <c r="M382" s="4108"/>
      <c r="N382" s="4109"/>
      <c r="O382" s="1979"/>
      <c r="P382" s="1979"/>
    </row>
    <row r="383" spans="1:16" s="4110" customFormat="1" ht="18.75" customHeight="1">
      <c r="A383" s="2041"/>
      <c r="B383" s="2041"/>
      <c r="C383" s="4103" t="s">
        <v>1196</v>
      </c>
      <c r="D383" s="4905"/>
      <c r="E383" s="4906"/>
      <c r="F383" s="4906"/>
      <c r="G383" s="4876"/>
      <c r="H383" s="4442"/>
      <c r="I383" s="4443" t="s">
        <v>1195</v>
      </c>
      <c r="J383" s="4444"/>
      <c r="K383" s="4445"/>
      <c r="L383" s="4446"/>
      <c r="M383" s="4108"/>
      <c r="N383" s="4109"/>
      <c r="O383" s="1979"/>
      <c r="P383" s="1979"/>
    </row>
    <row r="384" spans="1:16" s="4110" customFormat="1" ht="18.75" customHeight="1">
      <c r="A384" s="2041" t="s">
        <v>312</v>
      </c>
      <c r="B384" s="2041" t="s">
        <v>403</v>
      </c>
      <c r="C384" s="4103"/>
      <c r="D384" s="4905"/>
      <c r="E384" s="4906"/>
      <c r="F384" s="4906"/>
      <c r="G384" s="4876" t="str">
        <f>INDEX(PT_DIFFERENTIATION_NTAR,MATCH(B384,PT_DIFFERENTIATION_NTAR_ID,0))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H384" s="4104"/>
      <c r="I384" s="4105"/>
      <c r="J384" s="4106"/>
      <c r="K384" s="4196"/>
      <c r="L384" s="4104" t="s">
        <v>445</v>
      </c>
      <c r="M384" s="4108"/>
      <c r="N384" s="4109"/>
      <c r="O384" s="1979"/>
      <c r="P384" s="1979"/>
    </row>
    <row r="385" spans="1:16" s="4110" customFormat="1" ht="18.75" customHeight="1">
      <c r="A385" s="2041"/>
      <c r="B385" s="2041"/>
      <c r="C385" s="4103" t="s">
        <v>1196</v>
      </c>
      <c r="D385" s="4905"/>
      <c r="E385" s="4906"/>
      <c r="F385" s="4906"/>
      <c r="G385" s="4876"/>
      <c r="H385" s="4447"/>
      <c r="I385" s="4448" t="s">
        <v>1195</v>
      </c>
      <c r="J385" s="4449"/>
      <c r="K385" s="4450"/>
      <c r="L385" s="4451"/>
      <c r="M385" s="4108"/>
      <c r="N385" s="4109"/>
      <c r="O385" s="1979"/>
      <c r="P385" s="1979"/>
    </row>
    <row r="386" spans="1:16" s="1924" customFormat="1" ht="0.75" hidden="1" customHeight="1">
      <c r="A386" s="1692"/>
      <c r="B386" s="1692"/>
      <c r="C386" s="298" t="s">
        <v>1203</v>
      </c>
      <c r="D386" s="4904"/>
      <c r="E386" s="4713"/>
      <c r="F386" s="4848"/>
      <c r="G386" s="335"/>
      <c r="H386" s="1411"/>
      <c r="I386" s="573"/>
      <c r="J386" s="497"/>
      <c r="K386" s="1411"/>
      <c r="L386" s="135"/>
      <c r="M386" s="268"/>
      <c r="N386" s="261"/>
      <c r="O386" s="1537"/>
      <c r="P386" s="1537"/>
    </row>
    <row r="387" spans="1:16" s="1924" customFormat="1" ht="18.75" hidden="1" customHeight="1">
      <c r="A387" s="1692" t="s">
        <v>409</v>
      </c>
      <c r="B387" s="1692" t="s">
        <v>410</v>
      </c>
      <c r="C387" s="298"/>
      <c r="D387" s="4904"/>
      <c r="E387" s="4713"/>
      <c r="F387" s="4848" t="str">
        <f>INDEX(PT_DIFFERENTIATION_VTAR,MATCH(A387,PT_DIFFERENTIATION_VTAR_ID,0))</f>
        <v>Тариф на транспортировку сточных вод</v>
      </c>
      <c r="G387" s="4876" t="str">
        <f>INDEX(PT_DIFFERENTIATION_NTAR,MATCH(B387,PT_DIFFERENTIATION_NTAR_ID,0))</f>
        <v/>
      </c>
      <c r="H387" s="1774"/>
      <c r="I387" s="1650"/>
      <c r="J387" s="1685"/>
      <c r="K387" s="1690"/>
      <c r="L387" s="1774" t="s">
        <v>445</v>
      </c>
      <c r="M387" s="268"/>
      <c r="N387" s="261"/>
      <c r="O387" s="1537"/>
      <c r="P387" s="1537"/>
    </row>
    <row r="388" spans="1:16" s="1924" customFormat="1" ht="18.75" hidden="1" customHeight="1">
      <c r="A388" s="1692"/>
      <c r="B388" s="1692"/>
      <c r="C388" s="298" t="s">
        <v>1196</v>
      </c>
      <c r="D388" s="4904"/>
      <c r="E388" s="4713"/>
      <c r="F388" s="4848"/>
      <c r="G388" s="4876"/>
      <c r="H388" s="1411"/>
      <c r="I388" s="573" t="s">
        <v>1195</v>
      </c>
      <c r="J388" s="497"/>
      <c r="K388" s="1411"/>
      <c r="L388" s="135"/>
      <c r="M388" s="268"/>
      <c r="N388" s="261"/>
      <c r="O388" s="1537"/>
      <c r="P388" s="1537"/>
    </row>
    <row r="389" spans="1:16" s="1924" customFormat="1" ht="0.75" hidden="1" customHeight="1">
      <c r="A389" s="1692"/>
      <c r="B389" s="1692"/>
      <c r="C389" s="298" t="s">
        <v>1203</v>
      </c>
      <c r="D389" s="4904"/>
      <c r="E389" s="4713"/>
      <c r="F389" s="4848"/>
      <c r="G389" s="335"/>
      <c r="H389" s="1411"/>
      <c r="I389" s="573"/>
      <c r="J389" s="497"/>
      <c r="K389" s="1411"/>
      <c r="L389" s="135"/>
      <c r="M389" s="268"/>
      <c r="N389" s="261"/>
      <c r="O389" s="1537"/>
      <c r="P389" s="1537"/>
    </row>
    <row r="390" spans="1:16" s="1924" customFormat="1" ht="18.75" hidden="1" customHeight="1">
      <c r="A390" s="1692" t="s">
        <v>414</v>
      </c>
      <c r="B390" s="1692" t="s">
        <v>415</v>
      </c>
      <c r="C390" s="298"/>
      <c r="D390" s="4904"/>
      <c r="E390" s="4713"/>
      <c r="F390" s="4848" t="str">
        <f>INDEX(PT_DIFFERENTIATION_VTAR,MATCH(A390,PT_DIFFERENTIATION_VTAR_ID,0))</f>
        <v>Тариф на подключение (технологическое присоединение) к централизованной системе водоотведения</v>
      </c>
      <c r="G390" s="4876" t="str">
        <f>INDEX(PT_DIFFERENTIATION_NTAR,MATCH(B390,PT_DIFFERENTIATION_NTAR_ID,0))</f>
        <v/>
      </c>
      <c r="H390" s="1774"/>
      <c r="I390" s="1650"/>
      <c r="J390" s="1685"/>
      <c r="K390" s="1690"/>
      <c r="L390" s="1774" t="s">
        <v>445</v>
      </c>
      <c r="M390" s="268"/>
      <c r="N390" s="261"/>
      <c r="O390" s="1537"/>
      <c r="P390" s="1537"/>
    </row>
    <row r="391" spans="1:16" s="1924" customFormat="1" ht="18.75" hidden="1" customHeight="1">
      <c r="A391" s="1692"/>
      <c r="B391" s="1692"/>
      <c r="C391" s="298" t="s">
        <v>1196</v>
      </c>
      <c r="D391" s="4904"/>
      <c r="E391" s="4713"/>
      <c r="F391" s="4848"/>
      <c r="G391" s="4876"/>
      <c r="H391" s="1411"/>
      <c r="I391" s="573" t="s">
        <v>1195</v>
      </c>
      <c r="J391" s="497"/>
      <c r="K391" s="1411"/>
      <c r="L391" s="135"/>
      <c r="M391" s="268"/>
      <c r="N391" s="261"/>
      <c r="O391" s="1537"/>
      <c r="P391" s="1537"/>
    </row>
    <row r="392" spans="1:16" s="1924" customFormat="1" ht="0.75" customHeight="1">
      <c r="A392" s="1692"/>
      <c r="B392" s="1692"/>
      <c r="C392" s="298" t="s">
        <v>1203</v>
      </c>
      <c r="D392" s="4904"/>
      <c r="E392" s="4713"/>
      <c r="F392" s="4848"/>
      <c r="G392" s="335"/>
      <c r="H392" s="1411"/>
      <c r="I392" s="573"/>
      <c r="J392" s="497"/>
      <c r="K392" s="1411"/>
      <c r="L392" s="135"/>
      <c r="M392" s="268"/>
      <c r="N392" s="261"/>
      <c r="O392" s="1537"/>
      <c r="P392" s="1537"/>
    </row>
    <row r="393" spans="1:16" ht="25.5" customHeight="1">
      <c r="A393" s="1692"/>
      <c r="B393" s="1692"/>
      <c r="D393" s="306"/>
      <c r="E393" s="71" t="s">
        <v>90</v>
      </c>
      <c r="F393" s="49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93" s="4903"/>
      <c r="H393" s="4903"/>
      <c r="I393" s="4903"/>
      <c r="J393" s="4903"/>
      <c r="K393" s="4903"/>
      <c r="L393" s="4903"/>
      <c r="M393" s="216"/>
      <c r="N393" s="261"/>
    </row>
    <row r="394" spans="1:16" s="1924" customFormat="1" ht="60.75" hidden="1" customHeight="1">
      <c r="A394" s="1692" t="s">
        <v>214</v>
      </c>
      <c r="B394" s="1692" t="s">
        <v>215</v>
      </c>
      <c r="C394" s="298"/>
      <c r="D394" s="4904"/>
      <c r="E394" s="4713"/>
      <c r="F394" s="4848" t="str">
        <f>INDEX(PT_DIFFERENTIATION_VTAR,MATCH(A394,PT_DIFFERENTIATION_VTAR_ID,0))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94" s="4876" t="str">
        <f>INDEX(PT_DIFFERENTIATION_NTAR,MATCH(B394,PT_DIFFERENTIATION_NTAR_ID,0))</f>
        <v/>
      </c>
      <c r="H394" s="1774"/>
      <c r="I394" s="1650"/>
      <c r="J394" s="1685"/>
      <c r="K394" s="1690"/>
      <c r="L394" s="1774" t="s">
        <v>445</v>
      </c>
      <c r="M394" s="46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94" s="261"/>
      <c r="O394" s="1537"/>
      <c r="P394" s="1537"/>
    </row>
    <row r="395" spans="1:16" s="1924" customFormat="1" ht="18.75" hidden="1" customHeight="1">
      <c r="A395" s="1692"/>
      <c r="B395" s="1692"/>
      <c r="C395" s="298" t="s">
        <v>1196</v>
      </c>
      <c r="D395" s="4904"/>
      <c r="E395" s="4713"/>
      <c r="F395" s="4848"/>
      <c r="G395" s="4876"/>
      <c r="H395" s="1411"/>
      <c r="I395" s="573" t="s">
        <v>1195</v>
      </c>
      <c r="J395" s="497"/>
      <c r="K395" s="1411"/>
      <c r="L395" s="135"/>
      <c r="M395" s="4668"/>
      <c r="N395" s="261"/>
      <c r="O395" s="1537"/>
      <c r="P395" s="1537"/>
    </row>
    <row r="396" spans="1:16" s="1924" customFormat="1" ht="0.75" hidden="1" customHeight="1">
      <c r="A396" s="1692"/>
      <c r="B396" s="1692"/>
      <c r="C396" s="298" t="s">
        <v>1203</v>
      </c>
      <c r="D396" s="4904"/>
      <c r="E396" s="4713"/>
      <c r="F396" s="4848"/>
      <c r="G396" s="335"/>
      <c r="H396" s="1411"/>
      <c r="I396" s="573"/>
      <c r="J396" s="497"/>
      <c r="K396" s="1411"/>
      <c r="L396" s="135"/>
      <c r="M396" s="4668"/>
      <c r="N396" s="261"/>
      <c r="O396" s="1537"/>
      <c r="P396" s="1537"/>
    </row>
    <row r="397" spans="1:16" s="1924" customFormat="1" ht="45" hidden="1" customHeight="1">
      <c r="A397" s="1692" t="s">
        <v>220</v>
      </c>
      <c r="B397" s="1692" t="s">
        <v>221</v>
      </c>
      <c r="C397" s="298"/>
      <c r="D397" s="4904"/>
      <c r="E397" s="4713"/>
      <c r="F397" s="4848" t="str">
        <f>INDEX(PT_DIFFERENTIATION_VTAR,MATCH(A397,PT_DIFFERENTIATION_VTAR_ID,0))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97" s="4876" t="str">
        <f>INDEX(PT_DIFFERENTIATION_NTAR,MATCH(B397,PT_DIFFERENTIATION_NTAR_ID,0))</f>
        <v/>
      </c>
      <c r="H397" s="1774"/>
      <c r="I397" s="1650"/>
      <c r="J397" s="1685"/>
      <c r="K397" s="1690"/>
      <c r="L397" s="1774" t="s">
        <v>445</v>
      </c>
      <c r="M397" s="4669"/>
      <c r="N397" s="261"/>
      <c r="O397" s="1537"/>
      <c r="P397" s="1537"/>
    </row>
    <row r="398" spans="1:16" s="1924" customFormat="1" ht="18.75" hidden="1" customHeight="1">
      <c r="A398" s="1692"/>
      <c r="B398" s="1692"/>
      <c r="C398" s="298" t="s">
        <v>1196</v>
      </c>
      <c r="D398" s="4904"/>
      <c r="E398" s="4713"/>
      <c r="F398" s="4848"/>
      <c r="G398" s="4876"/>
      <c r="H398" s="1411"/>
      <c r="I398" s="573" t="s">
        <v>1195</v>
      </c>
      <c r="J398" s="497"/>
      <c r="K398" s="1411"/>
      <c r="L398" s="135"/>
      <c r="M398" s="1773"/>
      <c r="N398" s="261"/>
      <c r="O398" s="1537"/>
      <c r="P398" s="1537"/>
    </row>
    <row r="399" spans="1:16" s="1924" customFormat="1" ht="0.75" hidden="1" customHeight="1">
      <c r="A399" s="1692"/>
      <c r="B399" s="1692"/>
      <c r="C399" s="298" t="s">
        <v>1203</v>
      </c>
      <c r="D399" s="4904"/>
      <c r="E399" s="4713"/>
      <c r="F399" s="4848"/>
      <c r="G399" s="335"/>
      <c r="H399" s="1411"/>
      <c r="I399" s="573"/>
      <c r="J399" s="497"/>
      <c r="K399" s="1411"/>
      <c r="L399" s="135"/>
      <c r="M399" s="268"/>
      <c r="N399" s="261"/>
      <c r="O399" s="1537"/>
      <c r="P399" s="1537"/>
    </row>
    <row r="400" spans="1:16" s="1924" customFormat="1" ht="45" hidden="1" customHeight="1">
      <c r="A400" s="1692" t="s">
        <v>226</v>
      </c>
      <c r="B400" s="1692" t="s">
        <v>227</v>
      </c>
      <c r="C400" s="298"/>
      <c r="D400" s="4904"/>
      <c r="E400" s="4713"/>
      <c r="F400" s="4848" t="str">
        <f>INDEX(PT_DIFFERENTIATION_VTAR,MATCH(A400,PT_DIFFERENTIATION_VTAR_ID,0))</f>
        <v>Тарифы на теплоноситель, поставляемый теплоснабжающими организациями потребителям, другим теплоснабжающим организациям</v>
      </c>
      <c r="G400" s="4876" t="str">
        <f>INDEX(PT_DIFFERENTIATION_NTAR,MATCH(B400,PT_DIFFERENTIATION_NTAR_ID,0))</f>
        <v/>
      </c>
      <c r="H400" s="1774"/>
      <c r="I400" s="1650"/>
      <c r="J400" s="1685"/>
      <c r="K400" s="1690"/>
      <c r="L400" s="1774" t="s">
        <v>445</v>
      </c>
      <c r="M400" s="268"/>
      <c r="N400" s="261"/>
      <c r="O400" s="1537"/>
      <c r="P400" s="1537"/>
    </row>
    <row r="401" spans="1:16" s="1924" customFormat="1" ht="18.75" hidden="1" customHeight="1">
      <c r="A401" s="1692"/>
      <c r="B401" s="1692"/>
      <c r="C401" s="298" t="s">
        <v>1196</v>
      </c>
      <c r="D401" s="4904"/>
      <c r="E401" s="4713"/>
      <c r="F401" s="4848"/>
      <c r="G401" s="4876"/>
      <c r="H401" s="1411"/>
      <c r="I401" s="573" t="s">
        <v>1195</v>
      </c>
      <c r="J401" s="497"/>
      <c r="K401" s="1411"/>
      <c r="L401" s="135"/>
      <c r="M401" s="268"/>
      <c r="N401" s="261"/>
      <c r="O401" s="1537"/>
      <c r="P401" s="1537"/>
    </row>
    <row r="402" spans="1:16" s="1924" customFormat="1" ht="0.75" hidden="1" customHeight="1">
      <c r="A402" s="1692"/>
      <c r="B402" s="1692"/>
      <c r="C402" s="298" t="s">
        <v>1203</v>
      </c>
      <c r="D402" s="4904"/>
      <c r="E402" s="4713"/>
      <c r="F402" s="4848"/>
      <c r="G402" s="335"/>
      <c r="H402" s="1411"/>
      <c r="I402" s="573"/>
      <c r="J402" s="497"/>
      <c r="K402" s="1411"/>
      <c r="L402" s="135"/>
      <c r="M402" s="268"/>
      <c r="N402" s="261"/>
      <c r="O402" s="1537"/>
      <c r="P402" s="1537"/>
    </row>
    <row r="403" spans="1:16" s="1924" customFormat="1" ht="45" hidden="1" customHeight="1">
      <c r="A403" s="1692" t="s">
        <v>232</v>
      </c>
      <c r="B403" s="1692" t="s">
        <v>233</v>
      </c>
      <c r="C403" s="298"/>
      <c r="D403" s="4904"/>
      <c r="E403" s="4713"/>
      <c r="F403" s="4848" t="str">
        <f>INDEX(PT_DIFFERENTIATION_VTAR,MATCH(A403,PT_DIFFERENTIATION_VTAR_ID,0))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03" s="4876" t="str">
        <f>INDEX(PT_DIFFERENTIATION_NTAR,MATCH(B403,PT_DIFFERENTIATION_NTAR_ID,0))</f>
        <v/>
      </c>
      <c r="H403" s="1774"/>
      <c r="I403" s="1650"/>
      <c r="J403" s="1685"/>
      <c r="K403" s="1690"/>
      <c r="L403" s="1774" t="s">
        <v>445</v>
      </c>
      <c r="M403" s="268"/>
      <c r="N403" s="261"/>
      <c r="O403" s="1537"/>
      <c r="P403" s="1537"/>
    </row>
    <row r="404" spans="1:16" s="1924" customFormat="1" ht="18.75" hidden="1" customHeight="1">
      <c r="A404" s="1692"/>
      <c r="B404" s="1692"/>
      <c r="C404" s="298" t="s">
        <v>1196</v>
      </c>
      <c r="D404" s="4904"/>
      <c r="E404" s="4713"/>
      <c r="F404" s="4848"/>
      <c r="G404" s="4876"/>
      <c r="H404" s="1411"/>
      <c r="I404" s="573" t="s">
        <v>1195</v>
      </c>
      <c r="J404" s="497"/>
      <c r="K404" s="1411"/>
      <c r="L404" s="135"/>
      <c r="M404" s="268"/>
      <c r="N404" s="261"/>
      <c r="O404" s="1537"/>
      <c r="P404" s="1537"/>
    </row>
    <row r="405" spans="1:16" s="1924" customFormat="1" ht="0.75" hidden="1" customHeight="1">
      <c r="A405" s="1692"/>
      <c r="B405" s="1692"/>
      <c r="C405" s="298" t="s">
        <v>1203</v>
      </c>
      <c r="D405" s="4904"/>
      <c r="E405" s="4713"/>
      <c r="F405" s="4848"/>
      <c r="G405" s="335"/>
      <c r="H405" s="1411"/>
      <c r="I405" s="573"/>
      <c r="J405" s="497"/>
      <c r="K405" s="1411"/>
      <c r="L405" s="135"/>
      <c r="M405" s="268"/>
      <c r="N405" s="261"/>
      <c r="O405" s="1537"/>
      <c r="P405" s="1537"/>
    </row>
    <row r="406" spans="1:16" s="1924" customFormat="1" ht="18.75" hidden="1" customHeight="1">
      <c r="A406" s="1692" t="s">
        <v>238</v>
      </c>
      <c r="B406" s="1692" t="s">
        <v>239</v>
      </c>
      <c r="C406" s="298"/>
      <c r="D406" s="4904"/>
      <c r="E406" s="4713"/>
      <c r="F406" s="4848" t="str">
        <f>INDEX(PT_DIFFERENTIATION_VTAR,MATCH(A406,PT_DIFFERENTIATION_VTAR_ID,0))</f>
        <v>Тарифы на услуги по передаче тепловой энергии</v>
      </c>
      <c r="G406" s="4876" t="str">
        <f>INDEX(PT_DIFFERENTIATION_NTAR,MATCH(B406,PT_DIFFERENTIATION_NTAR_ID,0))</f>
        <v/>
      </c>
      <c r="H406" s="1774"/>
      <c r="I406" s="1650"/>
      <c r="J406" s="1685"/>
      <c r="K406" s="1690"/>
      <c r="L406" s="1774" t="s">
        <v>445</v>
      </c>
      <c r="M406" s="268"/>
      <c r="N406" s="261"/>
      <c r="O406" s="1537"/>
      <c r="P406" s="1537"/>
    </row>
    <row r="407" spans="1:16" s="1924" customFormat="1" ht="18.75" hidden="1" customHeight="1">
      <c r="A407" s="1692"/>
      <c r="B407" s="1692"/>
      <c r="C407" s="298" t="s">
        <v>1196</v>
      </c>
      <c r="D407" s="4904"/>
      <c r="E407" s="4713"/>
      <c r="F407" s="4848"/>
      <c r="G407" s="4876"/>
      <c r="H407" s="1411"/>
      <c r="I407" s="573" t="s">
        <v>1195</v>
      </c>
      <c r="J407" s="497"/>
      <c r="K407" s="1411"/>
      <c r="L407" s="135"/>
      <c r="M407" s="268"/>
      <c r="N407" s="261"/>
      <c r="O407" s="1537"/>
      <c r="P407" s="1537"/>
    </row>
    <row r="408" spans="1:16" s="1924" customFormat="1" ht="0.75" hidden="1" customHeight="1">
      <c r="A408" s="1692"/>
      <c r="B408" s="1692"/>
      <c r="C408" s="298" t="s">
        <v>1203</v>
      </c>
      <c r="D408" s="4904"/>
      <c r="E408" s="4713"/>
      <c r="F408" s="4848"/>
      <c r="G408" s="335"/>
      <c r="H408" s="1411"/>
      <c r="I408" s="573"/>
      <c r="J408" s="497"/>
      <c r="K408" s="1411"/>
      <c r="L408" s="135"/>
      <c r="M408" s="268"/>
      <c r="N408" s="261"/>
      <c r="O408" s="1537"/>
      <c r="P408" s="1537"/>
    </row>
    <row r="409" spans="1:16" s="1924" customFormat="1" ht="18.75" hidden="1" customHeight="1">
      <c r="A409" s="1692" t="s">
        <v>244</v>
      </c>
      <c r="B409" s="1692" t="s">
        <v>245</v>
      </c>
      <c r="C409" s="298"/>
      <c r="D409" s="4904"/>
      <c r="E409" s="4713"/>
      <c r="F409" s="4848" t="str">
        <f>INDEX(PT_DIFFERENTIATION_VTAR,MATCH(A409,PT_DIFFERENTIATION_VTAR_ID,0))</f>
        <v>Тарифы на услуги по передаче теплоносителя</v>
      </c>
      <c r="G409" s="4876" t="str">
        <f>INDEX(PT_DIFFERENTIATION_NTAR,MATCH(B409,PT_DIFFERENTIATION_NTAR_ID,0))</f>
        <v/>
      </c>
      <c r="H409" s="1774"/>
      <c r="I409" s="1650"/>
      <c r="J409" s="1685"/>
      <c r="K409" s="1690"/>
      <c r="L409" s="1774" t="s">
        <v>445</v>
      </c>
      <c r="M409" s="268"/>
      <c r="N409" s="261"/>
      <c r="O409" s="1537"/>
      <c r="P409" s="1537"/>
    </row>
    <row r="410" spans="1:16" s="1924" customFormat="1" ht="18.75" hidden="1" customHeight="1">
      <c r="A410" s="1692"/>
      <c r="B410" s="1692"/>
      <c r="C410" s="298" t="s">
        <v>1196</v>
      </c>
      <c r="D410" s="4904"/>
      <c r="E410" s="4713"/>
      <c r="F410" s="4848"/>
      <c r="G410" s="4876"/>
      <c r="H410" s="1411"/>
      <c r="I410" s="573" t="s">
        <v>1195</v>
      </c>
      <c r="J410" s="497"/>
      <c r="K410" s="1411"/>
      <c r="L410" s="135"/>
      <c r="M410" s="268"/>
      <c r="N410" s="261"/>
      <c r="O410" s="1537"/>
      <c r="P410" s="1537"/>
    </row>
    <row r="411" spans="1:16" s="1924" customFormat="1" ht="0.75" hidden="1" customHeight="1">
      <c r="A411" s="1692"/>
      <c r="B411" s="1692"/>
      <c r="C411" s="298" t="s">
        <v>1203</v>
      </c>
      <c r="D411" s="4904"/>
      <c r="E411" s="4713"/>
      <c r="F411" s="4848"/>
      <c r="G411" s="335"/>
      <c r="H411" s="1411"/>
      <c r="I411" s="573"/>
      <c r="J411" s="497"/>
      <c r="K411" s="1411"/>
      <c r="L411" s="135"/>
      <c r="M411" s="268"/>
      <c r="N411" s="261"/>
      <c r="O411" s="1537"/>
      <c r="P411" s="1537"/>
    </row>
    <row r="412" spans="1:16" s="1924" customFormat="1" ht="18.75" hidden="1" customHeight="1">
      <c r="A412" s="1692" t="s">
        <v>250</v>
      </c>
      <c r="B412" s="1692" t="s">
        <v>251</v>
      </c>
      <c r="C412" s="298"/>
      <c r="D412" s="4904"/>
      <c r="E412" s="4713"/>
      <c r="F412" s="4848" t="str">
        <f>INDEX(PT_DIFFERENTIATION_VTAR,MATCH(A412,PT_DIFFERENTIATION_VTAR_ID,0))</f>
        <v>Плата за услуги по поддержанию резервной тепловой мощности при отсутствии потребления тепловой энергии</v>
      </c>
      <c r="G412" s="4876" t="str">
        <f>INDEX(PT_DIFFERENTIATION_NTAR,MATCH(B412,PT_DIFFERENTIATION_NTAR_ID,0))</f>
        <v/>
      </c>
      <c r="H412" s="1774"/>
      <c r="I412" s="1650"/>
      <c r="J412" s="1685"/>
      <c r="K412" s="1690"/>
      <c r="L412" s="1774" t="s">
        <v>445</v>
      </c>
      <c r="M412" s="268"/>
      <c r="N412" s="261"/>
      <c r="O412" s="1537"/>
      <c r="P412" s="1537"/>
    </row>
    <row r="413" spans="1:16" s="1924" customFormat="1" ht="18.75" hidden="1" customHeight="1">
      <c r="A413" s="1692"/>
      <c r="B413" s="1692"/>
      <c r="C413" s="298" t="s">
        <v>1196</v>
      </c>
      <c r="D413" s="4904"/>
      <c r="E413" s="4713"/>
      <c r="F413" s="4848"/>
      <c r="G413" s="4876"/>
      <c r="H413" s="1411"/>
      <c r="I413" s="573" t="s">
        <v>1195</v>
      </c>
      <c r="J413" s="497"/>
      <c r="K413" s="1411"/>
      <c r="L413" s="135"/>
      <c r="M413" s="268"/>
      <c r="N413" s="261"/>
      <c r="O413" s="1537"/>
      <c r="P413" s="1537"/>
    </row>
    <row r="414" spans="1:16" s="1924" customFormat="1" ht="0.75" hidden="1" customHeight="1">
      <c r="A414" s="1692"/>
      <c r="B414" s="1692"/>
      <c r="C414" s="298" t="s">
        <v>1203</v>
      </c>
      <c r="D414" s="4904"/>
      <c r="E414" s="4713"/>
      <c r="F414" s="4848"/>
      <c r="G414" s="335"/>
      <c r="H414" s="1411"/>
      <c r="I414" s="573"/>
      <c r="J414" s="497"/>
      <c r="K414" s="1411"/>
      <c r="L414" s="135"/>
      <c r="M414" s="268"/>
      <c r="N414" s="261"/>
      <c r="O414" s="1537"/>
      <c r="P414" s="1537"/>
    </row>
    <row r="415" spans="1:16" s="1924" customFormat="1" ht="18.75" hidden="1" customHeight="1">
      <c r="A415" s="1692" t="s">
        <v>256</v>
      </c>
      <c r="B415" s="1692" t="s">
        <v>257</v>
      </c>
      <c r="C415" s="298"/>
      <c r="D415" s="4904"/>
      <c r="E415" s="4713"/>
      <c r="F415" s="4848" t="str">
        <f>INDEX(PT_DIFFERENTIATION_VTAR,MATCH(A415,PT_DIFFERENTIATION_VTAR_ID,0))</f>
        <v>Плата за подключение (технологическое присоединение) к системе теплоснабжения</v>
      </c>
      <c r="G415" s="4876" t="str">
        <f>INDEX(PT_DIFFERENTIATION_NTAR,MATCH(B415,PT_DIFFERENTIATION_NTAR_ID,0))</f>
        <v/>
      </c>
      <c r="H415" s="1774"/>
      <c r="I415" s="1650"/>
      <c r="J415" s="1685"/>
      <c r="K415" s="1690"/>
      <c r="L415" s="1774" t="s">
        <v>445</v>
      </c>
      <c r="M415" s="268"/>
      <c r="N415" s="261"/>
      <c r="O415" s="1537"/>
      <c r="P415" s="1537"/>
    </row>
    <row r="416" spans="1:16" s="1924" customFormat="1" ht="18.75" hidden="1" customHeight="1">
      <c r="A416" s="1692"/>
      <c r="B416" s="1692"/>
      <c r="C416" s="298" t="s">
        <v>1196</v>
      </c>
      <c r="D416" s="4904"/>
      <c r="E416" s="4713"/>
      <c r="F416" s="4848"/>
      <c r="G416" s="4876"/>
      <c r="H416" s="1411"/>
      <c r="I416" s="573" t="s">
        <v>1195</v>
      </c>
      <c r="J416" s="497"/>
      <c r="K416" s="1411"/>
      <c r="L416" s="135"/>
      <c r="M416" s="268"/>
      <c r="N416" s="261"/>
      <c r="O416" s="1537"/>
      <c r="P416" s="1537"/>
    </row>
    <row r="417" spans="1:16" s="1924" customFormat="1" ht="0.75" hidden="1" customHeight="1">
      <c r="A417" s="1692"/>
      <c r="B417" s="1692"/>
      <c r="C417" s="298" t="s">
        <v>1203</v>
      </c>
      <c r="D417" s="4904"/>
      <c r="E417" s="4713"/>
      <c r="F417" s="4848"/>
      <c r="G417" s="335"/>
      <c r="H417" s="1411"/>
      <c r="I417" s="573"/>
      <c r="J417" s="497"/>
      <c r="K417" s="1411"/>
      <c r="L417" s="135"/>
      <c r="M417" s="268"/>
      <c r="N417" s="261"/>
      <c r="O417" s="1537"/>
      <c r="P417" s="1537"/>
    </row>
    <row r="418" spans="1:16" s="1924" customFormat="1" ht="18.75" hidden="1" customHeight="1">
      <c r="A418" s="1692" t="s">
        <v>270</v>
      </c>
      <c r="B418" s="1692" t="s">
        <v>271</v>
      </c>
      <c r="C418" s="298"/>
      <c r="D418" s="4904"/>
      <c r="E418" s="4713"/>
      <c r="F418" s="4848" t="str">
        <f>INDEX(PT_DIFFERENTIATION_VTAR,MATCH(A418,PT_DIFFERENTIATION_VTAR_ID,0))</f>
        <v>Тариф на питьевую воду (питьевое водоснабжение)</v>
      </c>
      <c r="G418" s="4876" t="str">
        <f>INDEX(PT_DIFFERENTIATION_NTAR,MATCH(B418,PT_DIFFERENTIATION_NTAR_ID,0))</f>
        <v/>
      </c>
      <c r="H418" s="1774"/>
      <c r="I418" s="1650"/>
      <c r="J418" s="1685"/>
      <c r="K418" s="1690"/>
      <c r="L418" s="1774" t="s">
        <v>445</v>
      </c>
      <c r="M418" s="268"/>
      <c r="N418" s="261"/>
      <c r="O418" s="1537"/>
      <c r="P418" s="1537"/>
    </row>
    <row r="419" spans="1:16" s="1924" customFormat="1" ht="18.75" hidden="1" customHeight="1">
      <c r="A419" s="1692"/>
      <c r="B419" s="1692"/>
      <c r="C419" s="298" t="s">
        <v>1196</v>
      </c>
      <c r="D419" s="4904"/>
      <c r="E419" s="4713"/>
      <c r="F419" s="4848"/>
      <c r="G419" s="4876"/>
      <c r="H419" s="1411"/>
      <c r="I419" s="573" t="s">
        <v>1195</v>
      </c>
      <c r="J419" s="497"/>
      <c r="K419" s="1411"/>
      <c r="L419" s="135"/>
      <c r="M419" s="268"/>
      <c r="N419" s="261"/>
      <c r="O419" s="1537"/>
      <c r="P419" s="1537"/>
    </row>
    <row r="420" spans="1:16" s="1924" customFormat="1" ht="0.75" hidden="1" customHeight="1">
      <c r="A420" s="1692"/>
      <c r="B420" s="1692"/>
      <c r="C420" s="298" t="s">
        <v>1203</v>
      </c>
      <c r="D420" s="4904"/>
      <c r="E420" s="4713"/>
      <c r="F420" s="4848"/>
      <c r="G420" s="335"/>
      <c r="H420" s="1411"/>
      <c r="I420" s="573"/>
      <c r="J420" s="497"/>
      <c r="K420" s="1411"/>
      <c r="L420" s="135"/>
      <c r="M420" s="268"/>
      <c r="N420" s="261"/>
      <c r="O420" s="1537"/>
      <c r="P420" s="1537"/>
    </row>
    <row r="421" spans="1:16" s="1924" customFormat="1" ht="18.75" hidden="1" customHeight="1">
      <c r="A421" s="1692" t="s">
        <v>275</v>
      </c>
      <c r="B421" s="1692" t="s">
        <v>276</v>
      </c>
      <c r="C421" s="298"/>
      <c r="D421" s="4904"/>
      <c r="E421" s="4713"/>
      <c r="F421" s="4848" t="str">
        <f>INDEX(PT_DIFFERENTIATION_VTAR,MATCH(A421,PT_DIFFERENTIATION_VTAR_ID,0))</f>
        <v>Тариф на техническую воду</v>
      </c>
      <c r="G421" s="4876" t="str">
        <f>INDEX(PT_DIFFERENTIATION_NTAR,MATCH(B421,PT_DIFFERENTIATION_NTAR_ID,0))</f>
        <v/>
      </c>
      <c r="H421" s="1774"/>
      <c r="I421" s="1650"/>
      <c r="J421" s="1685"/>
      <c r="K421" s="1690"/>
      <c r="L421" s="1774" t="s">
        <v>445</v>
      </c>
      <c r="M421" s="268"/>
      <c r="N421" s="261"/>
      <c r="O421" s="1537"/>
      <c r="P421" s="1537"/>
    </row>
    <row r="422" spans="1:16" s="1924" customFormat="1" ht="18.75" hidden="1" customHeight="1">
      <c r="A422" s="1692"/>
      <c r="B422" s="1692"/>
      <c r="C422" s="298" t="s">
        <v>1196</v>
      </c>
      <c r="D422" s="4904"/>
      <c r="E422" s="4713"/>
      <c r="F422" s="4848"/>
      <c r="G422" s="4876"/>
      <c r="H422" s="1411"/>
      <c r="I422" s="573" t="s">
        <v>1195</v>
      </c>
      <c r="J422" s="497"/>
      <c r="K422" s="1411"/>
      <c r="L422" s="135"/>
      <c r="M422" s="268"/>
      <c r="N422" s="261"/>
      <c r="O422" s="1537"/>
      <c r="P422" s="1537"/>
    </row>
    <row r="423" spans="1:16" s="1924" customFormat="1" ht="0.75" hidden="1" customHeight="1">
      <c r="A423" s="1692"/>
      <c r="B423" s="1692"/>
      <c r="C423" s="298" t="s">
        <v>1203</v>
      </c>
      <c r="D423" s="4904"/>
      <c r="E423" s="4713"/>
      <c r="F423" s="4848"/>
      <c r="G423" s="335"/>
      <c r="H423" s="1411"/>
      <c r="I423" s="573"/>
      <c r="J423" s="497"/>
      <c r="K423" s="1411"/>
      <c r="L423" s="135"/>
      <c r="M423" s="268"/>
      <c r="N423" s="261"/>
      <c r="O423" s="1537"/>
      <c r="P423" s="1537"/>
    </row>
    <row r="424" spans="1:16" s="1924" customFormat="1" ht="18.75" hidden="1" customHeight="1">
      <c r="A424" s="1692" t="s">
        <v>280</v>
      </c>
      <c r="B424" s="1692" t="s">
        <v>281</v>
      </c>
      <c r="C424" s="298"/>
      <c r="D424" s="4904"/>
      <c r="E424" s="4713"/>
      <c r="F424" s="4848" t="str">
        <f>INDEX(PT_DIFFERENTIATION_VTAR,MATCH(A424,PT_DIFFERENTIATION_VTAR_ID,0))</f>
        <v>Тариф на транспортировку воды</v>
      </c>
      <c r="G424" s="4876" t="str">
        <f>INDEX(PT_DIFFERENTIATION_NTAR,MATCH(B424,PT_DIFFERENTIATION_NTAR_ID,0))</f>
        <v/>
      </c>
      <c r="H424" s="1774"/>
      <c r="I424" s="1650"/>
      <c r="J424" s="1685"/>
      <c r="K424" s="1690"/>
      <c r="L424" s="1774" t="s">
        <v>445</v>
      </c>
      <c r="M424" s="268"/>
      <c r="N424" s="261"/>
      <c r="O424" s="1537"/>
      <c r="P424" s="1537"/>
    </row>
    <row r="425" spans="1:16" s="1924" customFormat="1" ht="18.75" hidden="1" customHeight="1">
      <c r="A425" s="1692"/>
      <c r="B425" s="1692"/>
      <c r="C425" s="298" t="s">
        <v>1196</v>
      </c>
      <c r="D425" s="4904"/>
      <c r="E425" s="4713"/>
      <c r="F425" s="4848"/>
      <c r="G425" s="4876"/>
      <c r="H425" s="1411"/>
      <c r="I425" s="573" t="s">
        <v>1195</v>
      </c>
      <c r="J425" s="497"/>
      <c r="K425" s="1411"/>
      <c r="L425" s="135"/>
      <c r="M425" s="268"/>
      <c r="N425" s="261"/>
      <c r="O425" s="1537"/>
      <c r="P425" s="1537"/>
    </row>
    <row r="426" spans="1:16" s="1924" customFormat="1" ht="0.75" hidden="1" customHeight="1">
      <c r="A426" s="1692"/>
      <c r="B426" s="1692"/>
      <c r="C426" s="298" t="s">
        <v>1203</v>
      </c>
      <c r="D426" s="4904"/>
      <c r="E426" s="4713"/>
      <c r="F426" s="4848"/>
      <c r="G426" s="335"/>
      <c r="H426" s="1411"/>
      <c r="I426" s="573"/>
      <c r="J426" s="497"/>
      <c r="K426" s="1411"/>
      <c r="L426" s="135"/>
      <c r="M426" s="268"/>
      <c r="N426" s="261"/>
      <c r="O426" s="1537"/>
      <c r="P426" s="1537"/>
    </row>
    <row r="427" spans="1:16" s="1924" customFormat="1" ht="18.75" hidden="1" customHeight="1">
      <c r="A427" s="1692" t="s">
        <v>285</v>
      </c>
      <c r="B427" s="1692" t="s">
        <v>286</v>
      </c>
      <c r="C427" s="298"/>
      <c r="D427" s="4904"/>
      <c r="E427" s="4713"/>
      <c r="F427" s="4848" t="str">
        <f>INDEX(PT_DIFFERENTIATION_VTAR,MATCH(A427,PT_DIFFERENTIATION_VTAR_ID,0))</f>
        <v>Тариф на подвоз воды</v>
      </c>
      <c r="G427" s="4876" t="str">
        <f>INDEX(PT_DIFFERENTIATION_NTAR,MATCH(B427,PT_DIFFERENTIATION_NTAR_ID,0))</f>
        <v/>
      </c>
      <c r="H427" s="1774"/>
      <c r="I427" s="1650"/>
      <c r="J427" s="1685"/>
      <c r="K427" s="1690"/>
      <c r="L427" s="1774" t="s">
        <v>445</v>
      </c>
      <c r="M427" s="268"/>
      <c r="N427" s="261"/>
      <c r="O427" s="1537"/>
      <c r="P427" s="1537"/>
    </row>
    <row r="428" spans="1:16" s="1924" customFormat="1" ht="18.75" hidden="1" customHeight="1">
      <c r="A428" s="1692"/>
      <c r="B428" s="1692"/>
      <c r="C428" s="298" t="s">
        <v>1196</v>
      </c>
      <c r="D428" s="4904"/>
      <c r="E428" s="4713"/>
      <c r="F428" s="4848"/>
      <c r="G428" s="4876"/>
      <c r="H428" s="1411"/>
      <c r="I428" s="573" t="s">
        <v>1195</v>
      </c>
      <c r="J428" s="497"/>
      <c r="K428" s="1411"/>
      <c r="L428" s="135"/>
      <c r="M428" s="268"/>
      <c r="N428" s="261"/>
      <c r="O428" s="1537"/>
      <c r="P428" s="1537"/>
    </row>
    <row r="429" spans="1:16" s="1924" customFormat="1" ht="0.75" hidden="1" customHeight="1">
      <c r="A429" s="1692"/>
      <c r="B429" s="1692"/>
      <c r="C429" s="298" t="s">
        <v>1203</v>
      </c>
      <c r="D429" s="4904"/>
      <c r="E429" s="4713"/>
      <c r="F429" s="4848"/>
      <c r="G429" s="335"/>
      <c r="H429" s="1411"/>
      <c r="I429" s="573"/>
      <c r="J429" s="497"/>
      <c r="K429" s="1411"/>
      <c r="L429" s="135"/>
      <c r="M429" s="268"/>
      <c r="N429" s="261"/>
      <c r="O429" s="1537"/>
      <c r="P429" s="1537"/>
    </row>
    <row r="430" spans="1:16" s="1924" customFormat="1" ht="18.75" hidden="1" customHeight="1">
      <c r="A430" s="1692" t="s">
        <v>290</v>
      </c>
      <c r="B430" s="1692" t="s">
        <v>291</v>
      </c>
      <c r="C430" s="298"/>
      <c r="D430" s="4904"/>
      <c r="E430" s="4713"/>
      <c r="F430" s="4848" t="str">
        <f>INDEX(PT_DIFFERENTIATION_VTAR,MATCH(A430,PT_DIFFERENTIATION_VTAR_ID,0))</f>
        <v>Тариф на подключение (технологическое присоединение) к централизованной системе холодного водоснабжения</v>
      </c>
      <c r="G430" s="4876" t="str">
        <f>INDEX(PT_DIFFERENTIATION_NTAR,MATCH(B430,PT_DIFFERENTIATION_NTAR_ID,0))</f>
        <v/>
      </c>
      <c r="H430" s="1774"/>
      <c r="I430" s="1650"/>
      <c r="J430" s="1685"/>
      <c r="K430" s="1690"/>
      <c r="L430" s="1774" t="s">
        <v>445</v>
      </c>
      <c r="M430" s="268"/>
      <c r="N430" s="261"/>
      <c r="O430" s="1537"/>
      <c r="P430" s="1537"/>
    </row>
    <row r="431" spans="1:16" s="1924" customFormat="1" ht="18.75" hidden="1" customHeight="1">
      <c r="A431" s="1692"/>
      <c r="B431" s="1692"/>
      <c r="C431" s="298" t="s">
        <v>1196</v>
      </c>
      <c r="D431" s="4904"/>
      <c r="E431" s="4713"/>
      <c r="F431" s="4848"/>
      <c r="G431" s="4876"/>
      <c r="H431" s="1411"/>
      <c r="I431" s="573" t="s">
        <v>1195</v>
      </c>
      <c r="J431" s="497"/>
      <c r="K431" s="1411"/>
      <c r="L431" s="135"/>
      <c r="M431" s="268"/>
      <c r="N431" s="261"/>
      <c r="O431" s="1537"/>
      <c r="P431" s="1537"/>
    </row>
    <row r="432" spans="1:16" s="1924" customFormat="1" ht="0.75" hidden="1" customHeight="1">
      <c r="A432" s="1692"/>
      <c r="B432" s="1692"/>
      <c r="C432" s="298" t="s">
        <v>1203</v>
      </c>
      <c r="D432" s="4904"/>
      <c r="E432" s="4713"/>
      <c r="F432" s="4848"/>
      <c r="G432" s="335"/>
      <c r="H432" s="1411"/>
      <c r="I432" s="573"/>
      <c r="J432" s="497"/>
      <c r="K432" s="1411"/>
      <c r="L432" s="135"/>
      <c r="M432" s="268"/>
      <c r="N432" s="261"/>
      <c r="O432" s="1537"/>
      <c r="P432" s="1537"/>
    </row>
    <row r="433" spans="1:16" s="1924" customFormat="1" ht="18.75" hidden="1" customHeight="1">
      <c r="A433" s="1692" t="s">
        <v>295</v>
      </c>
      <c r="B433" s="1692" t="s">
        <v>296</v>
      </c>
      <c r="C433" s="298"/>
      <c r="D433" s="4904"/>
      <c r="E433" s="4713"/>
      <c r="F433" s="4848" t="str">
        <f>INDEX(PT_DIFFERENTIATION_VTAR,MATCH(A433,PT_DIFFERENTIATION_VTAR_ID,0))</f>
        <v>Тариф на горячую воду (горячее водоснабжение)</v>
      </c>
      <c r="G433" s="4876" t="str">
        <f>INDEX(PT_DIFFERENTIATION_NTAR,MATCH(B433,PT_DIFFERENTIATION_NTAR_ID,0))</f>
        <v/>
      </c>
      <c r="H433" s="1774"/>
      <c r="I433" s="1650"/>
      <c r="J433" s="1685"/>
      <c r="K433" s="1690"/>
      <c r="L433" s="1774" t="s">
        <v>445</v>
      </c>
      <c r="M433" s="268"/>
      <c r="N433" s="261"/>
      <c r="O433" s="1537"/>
      <c r="P433" s="1537"/>
    </row>
    <row r="434" spans="1:16" s="1924" customFormat="1" ht="18.75" hidden="1" customHeight="1">
      <c r="A434" s="1692"/>
      <c r="B434" s="1692"/>
      <c r="C434" s="298" t="s">
        <v>1196</v>
      </c>
      <c r="D434" s="4904"/>
      <c r="E434" s="4713"/>
      <c r="F434" s="4848"/>
      <c r="G434" s="4876"/>
      <c r="H434" s="1411"/>
      <c r="I434" s="573" t="s">
        <v>1195</v>
      </c>
      <c r="J434" s="497"/>
      <c r="K434" s="1411"/>
      <c r="L434" s="135"/>
      <c r="M434" s="268"/>
      <c r="N434" s="261"/>
      <c r="O434" s="1537"/>
      <c r="P434" s="1537"/>
    </row>
    <row r="435" spans="1:16" s="1924" customFormat="1" ht="0.75" hidden="1" customHeight="1">
      <c r="A435" s="1692"/>
      <c r="B435" s="1692"/>
      <c r="C435" s="298" t="s">
        <v>1203</v>
      </c>
      <c r="D435" s="4904"/>
      <c r="E435" s="4713"/>
      <c r="F435" s="4848"/>
      <c r="G435" s="335"/>
      <c r="H435" s="1411"/>
      <c r="I435" s="573"/>
      <c r="J435" s="497"/>
      <c r="K435" s="1411"/>
      <c r="L435" s="135"/>
      <c r="M435" s="268"/>
      <c r="N435" s="261"/>
      <c r="O435" s="1537"/>
      <c r="P435" s="1537"/>
    </row>
    <row r="436" spans="1:16" s="1924" customFormat="1" ht="18.75" hidden="1" customHeight="1">
      <c r="A436" s="1692" t="s">
        <v>300</v>
      </c>
      <c r="B436" s="1692" t="s">
        <v>301</v>
      </c>
      <c r="C436" s="298"/>
      <c r="D436" s="4904"/>
      <c r="E436" s="4713"/>
      <c r="F436" s="4848" t="str">
        <f>INDEX(PT_DIFFERENTIATION_VTAR,MATCH(A436,PT_DIFFERENTIATION_VTAR_ID,0))</f>
        <v>Тариф на транспортировку горячей воды</v>
      </c>
      <c r="G436" s="4876" t="str">
        <f>INDEX(PT_DIFFERENTIATION_NTAR,MATCH(B436,PT_DIFFERENTIATION_NTAR_ID,0))</f>
        <v/>
      </c>
      <c r="H436" s="1774"/>
      <c r="I436" s="1650"/>
      <c r="J436" s="1685"/>
      <c r="K436" s="1690"/>
      <c r="L436" s="1774" t="s">
        <v>445</v>
      </c>
      <c r="M436" s="268"/>
      <c r="N436" s="261"/>
      <c r="O436" s="1537"/>
      <c r="P436" s="1537"/>
    </row>
    <row r="437" spans="1:16" s="1924" customFormat="1" ht="18.75" hidden="1" customHeight="1">
      <c r="A437" s="1692"/>
      <c r="B437" s="1692"/>
      <c r="C437" s="298" t="s">
        <v>1196</v>
      </c>
      <c r="D437" s="4904"/>
      <c r="E437" s="4713"/>
      <c r="F437" s="4848"/>
      <c r="G437" s="4876"/>
      <c r="H437" s="1411"/>
      <c r="I437" s="573" t="s">
        <v>1195</v>
      </c>
      <c r="J437" s="497"/>
      <c r="K437" s="1411"/>
      <c r="L437" s="135"/>
      <c r="M437" s="268"/>
      <c r="N437" s="261"/>
      <c r="O437" s="1537"/>
      <c r="P437" s="1537"/>
    </row>
    <row r="438" spans="1:16" s="1924" customFormat="1" ht="0.75" hidden="1" customHeight="1">
      <c r="A438" s="1692"/>
      <c r="B438" s="1692"/>
      <c r="C438" s="298" t="s">
        <v>1203</v>
      </c>
      <c r="D438" s="4904"/>
      <c r="E438" s="4713"/>
      <c r="F438" s="4848"/>
      <c r="G438" s="335"/>
      <c r="H438" s="1411"/>
      <c r="I438" s="573"/>
      <c r="J438" s="497"/>
      <c r="K438" s="1411"/>
      <c r="L438" s="135"/>
      <c r="M438" s="268"/>
      <c r="N438" s="261"/>
      <c r="O438" s="1537"/>
      <c r="P438" s="1537"/>
    </row>
    <row r="439" spans="1:16" s="1924" customFormat="1" ht="18.75" hidden="1" customHeight="1">
      <c r="A439" s="1692" t="s">
        <v>305</v>
      </c>
      <c r="B439" s="1692" t="s">
        <v>306</v>
      </c>
      <c r="C439" s="298"/>
      <c r="D439" s="4904"/>
      <c r="E439" s="4713"/>
      <c r="F439" s="4848" t="str">
        <f>INDEX(PT_DIFFERENTIATION_VTAR,MATCH(A439,PT_DIFFERENTIATION_VTAR_ID,0))</f>
        <v>Тариф на подключение (технологическое присоединение) к централизованной системе горячего водоснабжения</v>
      </c>
      <c r="G439" s="4876" t="str">
        <f>INDEX(PT_DIFFERENTIATION_NTAR,MATCH(B439,PT_DIFFERENTIATION_NTAR_ID,0))</f>
        <v/>
      </c>
      <c r="H439" s="1774"/>
      <c r="I439" s="1650"/>
      <c r="J439" s="1685"/>
      <c r="K439" s="1690"/>
      <c r="L439" s="1774" t="s">
        <v>445</v>
      </c>
      <c r="M439" s="268"/>
      <c r="N439" s="261"/>
      <c r="O439" s="1537"/>
      <c r="P439" s="1537"/>
    </row>
    <row r="440" spans="1:16" s="1924" customFormat="1" ht="18.75" hidden="1" customHeight="1">
      <c r="A440" s="1692"/>
      <c r="B440" s="1692"/>
      <c r="C440" s="298" t="s">
        <v>1196</v>
      </c>
      <c r="D440" s="4904"/>
      <c r="E440" s="4713"/>
      <c r="F440" s="4848"/>
      <c r="G440" s="4876"/>
      <c r="H440" s="1411"/>
      <c r="I440" s="573" t="s">
        <v>1195</v>
      </c>
      <c r="J440" s="497"/>
      <c r="K440" s="1411"/>
      <c r="L440" s="135"/>
      <c r="M440" s="268"/>
      <c r="N440" s="261"/>
      <c r="O440" s="1537"/>
      <c r="P440" s="1537"/>
    </row>
    <row r="441" spans="1:16" s="1924" customFormat="1" ht="0.75" hidden="1" customHeight="1">
      <c r="A441" s="1692"/>
      <c r="B441" s="1692"/>
      <c r="C441" s="298" t="s">
        <v>1203</v>
      </c>
      <c r="D441" s="4904"/>
      <c r="E441" s="4713"/>
      <c r="F441" s="4848"/>
      <c r="G441" s="335"/>
      <c r="H441" s="1411"/>
      <c r="I441" s="573"/>
      <c r="J441" s="497"/>
      <c r="K441" s="1411"/>
      <c r="L441" s="135"/>
      <c r="M441" s="268"/>
      <c r="N441" s="261"/>
      <c r="O441" s="1537"/>
      <c r="P441" s="1537"/>
    </row>
    <row r="442" spans="1:16" s="1924" customFormat="1" ht="18.75" hidden="1" customHeight="1">
      <c r="A442" s="1692" t="s">
        <v>312</v>
      </c>
      <c r="B442" s="1692" t="s">
        <v>313</v>
      </c>
      <c r="C442" s="298"/>
      <c r="D442" s="4904"/>
      <c r="E442" s="4713"/>
      <c r="F442" s="4848" t="str">
        <f>INDEX(PT_DIFFERENTIATION_VTAR,MATCH(A442,PT_DIFFERENTIATION_VTAR_ID,0))</f>
        <v>Тариф на водоотведение</v>
      </c>
      <c r="G442" s="4876" t="str">
        <f>INDEX(PT_DIFFERENTIATION_NTAR,MATCH(B442,PT_DIFFERENTIATION_NTAR_ID,0))</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H442" s="1774"/>
      <c r="I442" s="1650"/>
      <c r="J442" s="1685"/>
      <c r="K442" s="1690"/>
      <c r="L442" s="1774" t="s">
        <v>445</v>
      </c>
      <c r="M442" s="268"/>
      <c r="N442" s="261"/>
      <c r="O442" s="1537"/>
      <c r="P442" s="1537"/>
    </row>
    <row r="443" spans="1:16" s="1924" customFormat="1" ht="18.75" hidden="1" customHeight="1">
      <c r="A443" s="1692"/>
      <c r="B443" s="1692"/>
      <c r="C443" s="298" t="s">
        <v>1196</v>
      </c>
      <c r="D443" s="4904"/>
      <c r="E443" s="4713"/>
      <c r="F443" s="4848"/>
      <c r="G443" s="4876"/>
      <c r="H443" s="1411"/>
      <c r="I443" s="573" t="s">
        <v>1195</v>
      </c>
      <c r="J443" s="497"/>
      <c r="K443" s="1411"/>
      <c r="L443" s="135"/>
      <c r="M443" s="268"/>
      <c r="N443" s="261"/>
      <c r="O443" s="1537"/>
      <c r="P443" s="1537"/>
    </row>
    <row r="444" spans="1:16" s="4110" customFormat="1" ht="18.75" customHeight="1">
      <c r="A444" s="2041" t="s">
        <v>312</v>
      </c>
      <c r="B444" s="2041" t="s">
        <v>319</v>
      </c>
      <c r="C444" s="4103"/>
      <c r="D444" s="4905"/>
      <c r="E444" s="4906"/>
      <c r="F444" s="4906"/>
      <c r="G444" s="4876" t="str">
        <f>INDEX(PT_DIFFERENTIATION_NTAR,MATCH(B444,PT_DIFFERENTIATION_NTAR_ID,0))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H444" s="4104"/>
      <c r="I444" s="4105"/>
      <c r="J444" s="4106"/>
      <c r="K444" s="4196"/>
      <c r="L444" s="4104" t="s">
        <v>445</v>
      </c>
      <c r="M444" s="4108"/>
      <c r="N444" s="4109"/>
      <c r="O444" s="1979"/>
      <c r="P444" s="1979"/>
    </row>
    <row r="445" spans="1:16" s="4110" customFormat="1" ht="18.75" customHeight="1">
      <c r="A445" s="2041"/>
      <c r="B445" s="2041"/>
      <c r="C445" s="4103" t="s">
        <v>1196</v>
      </c>
      <c r="D445" s="4905"/>
      <c r="E445" s="4906"/>
      <c r="F445" s="4906"/>
      <c r="G445" s="4876"/>
      <c r="H445" s="4452"/>
      <c r="I445" s="4453" t="s">
        <v>1195</v>
      </c>
      <c r="J445" s="4454"/>
      <c r="K445" s="4455"/>
      <c r="L445" s="4456"/>
      <c r="M445" s="4108"/>
      <c r="N445" s="4109"/>
      <c r="O445" s="1979"/>
      <c r="P445" s="1979"/>
    </row>
    <row r="446" spans="1:16" s="4110" customFormat="1" ht="18.75" customHeight="1">
      <c r="A446" s="2041" t="s">
        <v>312</v>
      </c>
      <c r="B446" s="2041" t="s">
        <v>324</v>
      </c>
      <c r="C446" s="4103"/>
      <c r="D446" s="4905"/>
      <c r="E446" s="4906"/>
      <c r="F446" s="4906"/>
      <c r="G446" s="4876" t="str">
        <f>INDEX(PT_DIFFERENTIATION_NTAR,MATCH(B446,PT_DIFFERENTIATION_NTAR_ID,0))</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H446" s="4104"/>
      <c r="I446" s="4105"/>
      <c r="J446" s="4106"/>
      <c r="K446" s="4196"/>
      <c r="L446" s="4104" t="s">
        <v>445</v>
      </c>
      <c r="M446" s="4108"/>
      <c r="N446" s="4109"/>
      <c r="O446" s="1979"/>
      <c r="P446" s="1979"/>
    </row>
    <row r="447" spans="1:16" s="4110" customFormat="1" ht="18.75" customHeight="1">
      <c r="A447" s="2041"/>
      <c r="B447" s="2041"/>
      <c r="C447" s="4103" t="s">
        <v>1196</v>
      </c>
      <c r="D447" s="4905"/>
      <c r="E447" s="4906"/>
      <c r="F447" s="4906"/>
      <c r="G447" s="4876"/>
      <c r="H447" s="4457"/>
      <c r="I447" s="4458" t="s">
        <v>1195</v>
      </c>
      <c r="J447" s="4459"/>
      <c r="K447" s="4460"/>
      <c r="L447" s="4461"/>
      <c r="M447" s="4108"/>
      <c r="N447" s="4109"/>
      <c r="O447" s="1979"/>
      <c r="P447" s="1979"/>
    </row>
    <row r="448" spans="1:16" s="4110" customFormat="1" ht="18.75" customHeight="1">
      <c r="A448" s="2041" t="s">
        <v>312</v>
      </c>
      <c r="B448" s="2041" t="s">
        <v>329</v>
      </c>
      <c r="C448" s="4103"/>
      <c r="D448" s="4905"/>
      <c r="E448" s="4906"/>
      <c r="F448" s="4906"/>
      <c r="G448" s="4876" t="str">
        <f>INDEX(PT_DIFFERENTIATION_NTAR,MATCH(B448,PT_DIFFERENTIATION_NTAR_ID,0))</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H448" s="4104"/>
      <c r="I448" s="4105"/>
      <c r="J448" s="4106"/>
      <c r="K448" s="4196"/>
      <c r="L448" s="4104" t="s">
        <v>445</v>
      </c>
      <c r="M448" s="4108"/>
      <c r="N448" s="4109"/>
      <c r="O448" s="1979"/>
      <c r="P448" s="1979"/>
    </row>
    <row r="449" spans="1:16" s="4110" customFormat="1" ht="18.75" customHeight="1">
      <c r="A449" s="2041"/>
      <c r="B449" s="2041"/>
      <c r="C449" s="4103" t="s">
        <v>1196</v>
      </c>
      <c r="D449" s="4905"/>
      <c r="E449" s="4906"/>
      <c r="F449" s="4906"/>
      <c r="G449" s="4876"/>
      <c r="H449" s="4462"/>
      <c r="I449" s="4463" t="s">
        <v>1195</v>
      </c>
      <c r="J449" s="4464"/>
      <c r="K449" s="4465"/>
      <c r="L449" s="4466"/>
      <c r="M449" s="4108"/>
      <c r="N449" s="4109"/>
      <c r="O449" s="1979"/>
      <c r="P449" s="1979"/>
    </row>
    <row r="450" spans="1:16" s="4110" customFormat="1" ht="18.75" customHeight="1">
      <c r="A450" s="2041" t="s">
        <v>312</v>
      </c>
      <c r="B450" s="2041" t="s">
        <v>334</v>
      </c>
      <c r="C450" s="4103"/>
      <c r="D450" s="4905"/>
      <c r="E450" s="4906"/>
      <c r="F450" s="4906"/>
      <c r="G450" s="4876" t="str">
        <f>INDEX(PT_DIFFERENTIATION_NTAR,MATCH(B450,PT_DIFFERENTIATION_NTAR_ID,0))</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H450" s="4104"/>
      <c r="I450" s="4105"/>
      <c r="J450" s="4106"/>
      <c r="K450" s="4196"/>
      <c r="L450" s="4104" t="s">
        <v>445</v>
      </c>
      <c r="M450" s="4108"/>
      <c r="N450" s="4109"/>
      <c r="O450" s="1979"/>
      <c r="P450" s="1979"/>
    </row>
    <row r="451" spans="1:16" s="4110" customFormat="1" ht="18.75" customHeight="1">
      <c r="A451" s="2041"/>
      <c r="B451" s="2041"/>
      <c r="C451" s="4103" t="s">
        <v>1196</v>
      </c>
      <c r="D451" s="4905"/>
      <c r="E451" s="4906"/>
      <c r="F451" s="4906"/>
      <c r="G451" s="4876"/>
      <c r="H451" s="4467"/>
      <c r="I451" s="4468" t="s">
        <v>1195</v>
      </c>
      <c r="J451" s="4469"/>
      <c r="K451" s="4470"/>
      <c r="L451" s="4471"/>
      <c r="M451" s="4108"/>
      <c r="N451" s="4109"/>
      <c r="O451" s="1979"/>
      <c r="P451" s="1979"/>
    </row>
    <row r="452" spans="1:16" s="4110" customFormat="1" ht="18.75" customHeight="1">
      <c r="A452" s="2041" t="s">
        <v>312</v>
      </c>
      <c r="B452" s="2041" t="s">
        <v>339</v>
      </c>
      <c r="C452" s="4103"/>
      <c r="D452" s="4905"/>
      <c r="E452" s="4906"/>
      <c r="F452" s="4906"/>
      <c r="G452" s="4876" t="str">
        <f>INDEX(PT_DIFFERENTIATION_NTAR,MATCH(B452,PT_DIFFERENTIATION_NTAR_ID,0))</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H452" s="4104"/>
      <c r="I452" s="4105"/>
      <c r="J452" s="4106"/>
      <c r="K452" s="4196"/>
      <c r="L452" s="4104" t="s">
        <v>445</v>
      </c>
      <c r="M452" s="4108"/>
      <c r="N452" s="4109"/>
      <c r="O452" s="1979"/>
      <c r="P452" s="1979"/>
    </row>
    <row r="453" spans="1:16" s="4110" customFormat="1" ht="18.75" customHeight="1">
      <c r="A453" s="2041"/>
      <c r="B453" s="2041"/>
      <c r="C453" s="4103" t="s">
        <v>1196</v>
      </c>
      <c r="D453" s="4905"/>
      <c r="E453" s="4906"/>
      <c r="F453" s="4906"/>
      <c r="G453" s="4876"/>
      <c r="H453" s="4472"/>
      <c r="I453" s="4473" t="s">
        <v>1195</v>
      </c>
      <c r="J453" s="4474"/>
      <c r="K453" s="4475"/>
      <c r="L453" s="4476"/>
      <c r="M453" s="4108"/>
      <c r="N453" s="4109"/>
      <c r="O453" s="1979"/>
      <c r="P453" s="1979"/>
    </row>
    <row r="454" spans="1:16" s="4110" customFormat="1" ht="18.75" customHeight="1">
      <c r="A454" s="2041" t="s">
        <v>312</v>
      </c>
      <c r="B454" s="2041" t="s">
        <v>344</v>
      </c>
      <c r="C454" s="4103"/>
      <c r="D454" s="4905"/>
      <c r="E454" s="4906"/>
      <c r="F454" s="4906"/>
      <c r="G454" s="4876" t="str">
        <f>INDEX(PT_DIFFERENTIATION_NTAR,MATCH(B454,PT_DIFFERENTIATION_NTAR_ID,0))</f>
        <v>С использованием централизованной системы водоотведения на территории МО "Майнское городское поселение" Майнского района Ульяновской области</v>
      </c>
      <c r="H454" s="4104"/>
      <c r="I454" s="4105"/>
      <c r="J454" s="4106"/>
      <c r="K454" s="4196"/>
      <c r="L454" s="4104" t="s">
        <v>445</v>
      </c>
      <c r="M454" s="4108"/>
      <c r="N454" s="4109"/>
      <c r="O454" s="1979"/>
      <c r="P454" s="1979"/>
    </row>
    <row r="455" spans="1:16" s="4110" customFormat="1" ht="18.75" customHeight="1">
      <c r="A455" s="2041"/>
      <c r="B455" s="2041"/>
      <c r="C455" s="4103" t="s">
        <v>1196</v>
      </c>
      <c r="D455" s="4905"/>
      <c r="E455" s="4906"/>
      <c r="F455" s="4906"/>
      <c r="G455" s="4876"/>
      <c r="H455" s="4477"/>
      <c r="I455" s="4478" t="s">
        <v>1195</v>
      </c>
      <c r="J455" s="4479"/>
      <c r="K455" s="4480"/>
      <c r="L455" s="4481"/>
      <c r="M455" s="4108"/>
      <c r="N455" s="4109"/>
      <c r="O455" s="1979"/>
      <c r="P455" s="1979"/>
    </row>
    <row r="456" spans="1:16" s="4110" customFormat="1" ht="18.75" customHeight="1">
      <c r="A456" s="2041" t="s">
        <v>312</v>
      </c>
      <c r="B456" s="2041" t="s">
        <v>349</v>
      </c>
      <c r="C456" s="4103"/>
      <c r="D456" s="4905"/>
      <c r="E456" s="4906"/>
      <c r="F456" s="4906"/>
      <c r="G456" s="4876" t="str">
        <f>INDEX(PT_DIFFERENTIATION_NTAR,MATCH(B456,PT_DIFFERENTIATION_NTAR_ID,0))</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H456" s="4104"/>
      <c r="I456" s="4105"/>
      <c r="J456" s="4106"/>
      <c r="K456" s="4196"/>
      <c r="L456" s="4104" t="s">
        <v>445</v>
      </c>
      <c r="M456" s="4108"/>
      <c r="N456" s="4109"/>
      <c r="O456" s="1979"/>
      <c r="P456" s="1979"/>
    </row>
    <row r="457" spans="1:16" s="4110" customFormat="1" ht="18.75" customHeight="1">
      <c r="A457" s="2041"/>
      <c r="B457" s="2041"/>
      <c r="C457" s="4103" t="s">
        <v>1196</v>
      </c>
      <c r="D457" s="4905"/>
      <c r="E457" s="4906"/>
      <c r="F457" s="4906"/>
      <c r="G457" s="4876"/>
      <c r="H457" s="4482"/>
      <c r="I457" s="4483" t="s">
        <v>1195</v>
      </c>
      <c r="J457" s="4484"/>
      <c r="K457" s="4485"/>
      <c r="L457" s="4486"/>
      <c r="M457" s="4108"/>
      <c r="N457" s="4109"/>
      <c r="O457" s="1979"/>
      <c r="P457" s="1979"/>
    </row>
    <row r="458" spans="1:16" s="4110" customFormat="1" ht="18.75" customHeight="1">
      <c r="A458" s="2041" t="s">
        <v>312</v>
      </c>
      <c r="B458" s="2041" t="s">
        <v>354</v>
      </c>
      <c r="C458" s="4103"/>
      <c r="D458" s="4905"/>
      <c r="E458" s="4906"/>
      <c r="F458" s="4906"/>
      <c r="G458" s="4876" t="str">
        <f>INDEX(PT_DIFFERENTIATION_NTAR,MATCH(B458,PT_DIFFERENTIATION_NTAR_ID,0))</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H458" s="4104"/>
      <c r="I458" s="4105"/>
      <c r="J458" s="4106"/>
      <c r="K458" s="4196"/>
      <c r="L458" s="4104" t="s">
        <v>445</v>
      </c>
      <c r="M458" s="4108"/>
      <c r="N458" s="4109"/>
      <c r="O458" s="1979"/>
      <c r="P458" s="1979"/>
    </row>
    <row r="459" spans="1:16" s="4110" customFormat="1" ht="18.75" customHeight="1">
      <c r="A459" s="2041"/>
      <c r="B459" s="2041"/>
      <c r="C459" s="4103" t="s">
        <v>1196</v>
      </c>
      <c r="D459" s="4905"/>
      <c r="E459" s="4906"/>
      <c r="F459" s="4906"/>
      <c r="G459" s="4876"/>
      <c r="H459" s="4487"/>
      <c r="I459" s="4488" t="s">
        <v>1195</v>
      </c>
      <c r="J459" s="4489"/>
      <c r="K459" s="4490"/>
      <c r="L459" s="4491"/>
      <c r="M459" s="4108"/>
      <c r="N459" s="4109"/>
      <c r="O459" s="1979"/>
      <c r="P459" s="1979"/>
    </row>
    <row r="460" spans="1:16" s="4110" customFormat="1" ht="18.75" customHeight="1">
      <c r="A460" s="2041" t="s">
        <v>312</v>
      </c>
      <c r="B460" s="2041" t="s">
        <v>359</v>
      </c>
      <c r="C460" s="4103"/>
      <c r="D460" s="4905"/>
      <c r="E460" s="4906"/>
      <c r="F460" s="4906"/>
      <c r="G460" s="4876" t="str">
        <f>INDEX(PT_DIFFERENTIATION_NTAR,MATCH(B460,PT_DIFFERENTIATION_NTAR_ID,0))</f>
        <v>С использованием централизованной системы водоотведения на территории МО "Барышское городское поселение" Барышского района Ульяновской области</v>
      </c>
      <c r="H460" s="4104"/>
      <c r="I460" s="4105"/>
      <c r="J460" s="4106"/>
      <c r="K460" s="4196"/>
      <c r="L460" s="4104" t="s">
        <v>445</v>
      </c>
      <c r="M460" s="4108"/>
      <c r="N460" s="4109"/>
      <c r="O460" s="1979"/>
      <c r="P460" s="1979"/>
    </row>
    <row r="461" spans="1:16" s="4110" customFormat="1" ht="18.75" customHeight="1">
      <c r="A461" s="2041"/>
      <c r="B461" s="2041"/>
      <c r="C461" s="4103" t="s">
        <v>1196</v>
      </c>
      <c r="D461" s="4905"/>
      <c r="E461" s="4906"/>
      <c r="F461" s="4906"/>
      <c r="G461" s="4876"/>
      <c r="H461" s="4492"/>
      <c r="I461" s="4493" t="s">
        <v>1195</v>
      </c>
      <c r="J461" s="4494"/>
      <c r="K461" s="4495"/>
      <c r="L461" s="4496"/>
      <c r="M461" s="4108"/>
      <c r="N461" s="4109"/>
      <c r="O461" s="1979"/>
      <c r="P461" s="1979"/>
    </row>
    <row r="462" spans="1:16" s="4110" customFormat="1" ht="18.75" customHeight="1">
      <c r="A462" s="2041" t="s">
        <v>312</v>
      </c>
      <c r="B462" s="2041" t="s">
        <v>364</v>
      </c>
      <c r="C462" s="4103"/>
      <c r="D462" s="4905"/>
      <c r="E462" s="4906"/>
      <c r="F462" s="4906"/>
      <c r="G462" s="4876" t="str">
        <f>INDEX(PT_DIFFERENTIATION_NTAR,MATCH(B462,PT_DIFFERENTIATION_NTAR_ID,0))</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H462" s="4104"/>
      <c r="I462" s="4105"/>
      <c r="J462" s="4106"/>
      <c r="K462" s="4196"/>
      <c r="L462" s="4104" t="s">
        <v>445</v>
      </c>
      <c r="M462" s="4108"/>
      <c r="N462" s="4109"/>
      <c r="O462" s="1979"/>
      <c r="P462" s="1979"/>
    </row>
    <row r="463" spans="1:16" s="4110" customFormat="1" ht="18.75" customHeight="1">
      <c r="A463" s="2041"/>
      <c r="B463" s="2041"/>
      <c r="C463" s="4103" t="s">
        <v>1196</v>
      </c>
      <c r="D463" s="4905"/>
      <c r="E463" s="4906"/>
      <c r="F463" s="4906"/>
      <c r="G463" s="4876"/>
      <c r="H463" s="4497"/>
      <c r="I463" s="4498" t="s">
        <v>1195</v>
      </c>
      <c r="J463" s="4499"/>
      <c r="K463" s="4500"/>
      <c r="L463" s="4501"/>
      <c r="M463" s="4108"/>
      <c r="N463" s="4109"/>
      <c r="O463" s="1979"/>
      <c r="P463" s="1979"/>
    </row>
    <row r="464" spans="1:16" s="4110" customFormat="1" ht="18.75" customHeight="1">
      <c r="A464" s="2041" t="s">
        <v>312</v>
      </c>
      <c r="B464" s="2041" t="s">
        <v>369</v>
      </c>
      <c r="C464" s="4103"/>
      <c r="D464" s="4905"/>
      <c r="E464" s="4906"/>
      <c r="F464" s="4906"/>
      <c r="G464" s="4876" t="str">
        <f>INDEX(PT_DIFFERENTIATION_NTAR,MATCH(B464,PT_DIFFERENTIATION_NTAR_ID,0))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H464" s="4104"/>
      <c r="I464" s="4105"/>
      <c r="J464" s="4106"/>
      <c r="K464" s="4196"/>
      <c r="L464" s="4104" t="s">
        <v>445</v>
      </c>
      <c r="M464" s="4108"/>
      <c r="N464" s="4109"/>
      <c r="O464" s="1979"/>
      <c r="P464" s="1979"/>
    </row>
    <row r="465" spans="1:16" s="4110" customFormat="1" ht="18.75" customHeight="1">
      <c r="A465" s="2041"/>
      <c r="B465" s="2041"/>
      <c r="C465" s="4103" t="s">
        <v>1196</v>
      </c>
      <c r="D465" s="4905"/>
      <c r="E465" s="4906"/>
      <c r="F465" s="4906"/>
      <c r="G465" s="4876"/>
      <c r="H465" s="4502"/>
      <c r="I465" s="4503" t="s">
        <v>1195</v>
      </c>
      <c r="J465" s="4504"/>
      <c r="K465" s="4505"/>
      <c r="L465" s="4506"/>
      <c r="M465" s="4108"/>
      <c r="N465" s="4109"/>
      <c r="O465" s="1979"/>
      <c r="P465" s="1979"/>
    </row>
    <row r="466" spans="1:16" s="4110" customFormat="1" ht="18.75" customHeight="1">
      <c r="A466" s="2041" t="s">
        <v>312</v>
      </c>
      <c r="B466" s="2041" t="s">
        <v>374</v>
      </c>
      <c r="C466" s="4103"/>
      <c r="D466" s="4905"/>
      <c r="E466" s="4906"/>
      <c r="F466" s="4906"/>
      <c r="G466" s="4876" t="str">
        <f>INDEX(PT_DIFFERENTIATION_NTAR,MATCH(B466,PT_DIFFERENTIATION_NTAR_ID,0))</f>
        <v>С использованием централизованной системы водоотведения на территории села Криуши МО "Город Новоульяновск" Ульяновской области</v>
      </c>
      <c r="H466" s="4104"/>
      <c r="I466" s="4105"/>
      <c r="J466" s="4106"/>
      <c r="K466" s="4196"/>
      <c r="L466" s="4104" t="s">
        <v>445</v>
      </c>
      <c r="M466" s="4108"/>
      <c r="N466" s="4109"/>
      <c r="O466" s="1979"/>
      <c r="P466" s="1979"/>
    </row>
    <row r="467" spans="1:16" s="4110" customFormat="1" ht="18.75" customHeight="1">
      <c r="A467" s="2041"/>
      <c r="B467" s="2041"/>
      <c r="C467" s="4103" t="s">
        <v>1196</v>
      </c>
      <c r="D467" s="4905"/>
      <c r="E467" s="4906"/>
      <c r="F467" s="4906"/>
      <c r="G467" s="4876"/>
      <c r="H467" s="4507"/>
      <c r="I467" s="4508" t="s">
        <v>1195</v>
      </c>
      <c r="J467" s="4509"/>
      <c r="K467" s="4510"/>
      <c r="L467" s="4511"/>
      <c r="M467" s="4108"/>
      <c r="N467" s="4109"/>
      <c r="O467" s="1979"/>
      <c r="P467" s="1979"/>
    </row>
    <row r="468" spans="1:16" s="4110" customFormat="1" ht="18.75" customHeight="1">
      <c r="A468" s="2041" t="s">
        <v>312</v>
      </c>
      <c r="B468" s="2041" t="s">
        <v>379</v>
      </c>
      <c r="C468" s="4103"/>
      <c r="D468" s="4905"/>
      <c r="E468" s="4906"/>
      <c r="F468" s="4906"/>
      <c r="G468" s="4876" t="str">
        <f>INDEX(PT_DIFFERENTIATION_NTAR,MATCH(B468,PT_DIFFERENTIATION_NTAR_ID,0))</f>
        <v>С использованием централизованной системы водоотведения на территории посёлка Липки МО "Город Новоульяновск Ульяновской области</v>
      </c>
      <c r="H468" s="4104"/>
      <c r="I468" s="4105"/>
      <c r="J468" s="4106"/>
      <c r="K468" s="4196"/>
      <c r="L468" s="4104" t="s">
        <v>445</v>
      </c>
      <c r="M468" s="4108"/>
      <c r="N468" s="4109"/>
      <c r="O468" s="1979"/>
      <c r="P468" s="1979"/>
    </row>
    <row r="469" spans="1:16" s="4110" customFormat="1" ht="18.75" customHeight="1">
      <c r="A469" s="2041"/>
      <c r="B469" s="2041"/>
      <c r="C469" s="4103" t="s">
        <v>1196</v>
      </c>
      <c r="D469" s="4905"/>
      <c r="E469" s="4906"/>
      <c r="F469" s="4906"/>
      <c r="G469" s="4876"/>
      <c r="H469" s="4512"/>
      <c r="I469" s="4513" t="s">
        <v>1195</v>
      </c>
      <c r="J469" s="4514"/>
      <c r="K469" s="4515"/>
      <c r="L469" s="4516"/>
      <c r="M469" s="4108"/>
      <c r="N469" s="4109"/>
      <c r="O469" s="1979"/>
      <c r="P469" s="1979"/>
    </row>
    <row r="470" spans="1:16" s="4110" customFormat="1" ht="18.75" customHeight="1">
      <c r="A470" s="2041" t="s">
        <v>312</v>
      </c>
      <c r="B470" s="2041" t="s">
        <v>385</v>
      </c>
      <c r="C470" s="4103"/>
      <c r="D470" s="4905"/>
      <c r="E470" s="4906"/>
      <c r="F470" s="4906"/>
      <c r="G470" s="4876" t="str">
        <f>INDEX(PT_DIFFERENTIATION_NTAR,MATCH(B470,PT_DIFFERENTIATION_NTAR_ID,0))</f>
        <v>С использованием централизованной системы водоотведения на территории посёлка Меловой МО "Город Новоульяновск" Ульяновской области</v>
      </c>
      <c r="H470" s="4104"/>
      <c r="I470" s="4105"/>
      <c r="J470" s="4106"/>
      <c r="K470" s="4196"/>
      <c r="L470" s="4104" t="s">
        <v>445</v>
      </c>
      <c r="M470" s="4108"/>
      <c r="N470" s="4109"/>
      <c r="O470" s="1979"/>
      <c r="P470" s="1979"/>
    </row>
    <row r="471" spans="1:16" s="4110" customFormat="1" ht="18.75" customHeight="1">
      <c r="A471" s="2041"/>
      <c r="B471" s="2041"/>
      <c r="C471" s="4103" t="s">
        <v>1196</v>
      </c>
      <c r="D471" s="4905"/>
      <c r="E471" s="4906"/>
      <c r="F471" s="4906"/>
      <c r="G471" s="4876"/>
      <c r="H471" s="4517"/>
      <c r="I471" s="4518" t="s">
        <v>1195</v>
      </c>
      <c r="J471" s="4519"/>
      <c r="K471" s="4520"/>
      <c r="L471" s="4521"/>
      <c r="M471" s="4108"/>
      <c r="N471" s="4109"/>
      <c r="O471" s="1979"/>
      <c r="P471" s="1979"/>
    </row>
    <row r="472" spans="1:16" s="4110" customFormat="1" ht="18.75" customHeight="1">
      <c r="A472" s="2041" t="s">
        <v>312</v>
      </c>
      <c r="B472" s="2041" t="s">
        <v>391</v>
      </c>
      <c r="C472" s="4103"/>
      <c r="D472" s="4905"/>
      <c r="E472" s="4906"/>
      <c r="F472" s="4906"/>
      <c r="G472" s="4876" t="str">
        <f>INDEX(PT_DIFFERENTIATION_NTAR,MATCH(B472,PT_DIFFERENTIATION_NTAR_ID,0))</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H472" s="4104"/>
      <c r="I472" s="4105"/>
      <c r="J472" s="4106"/>
      <c r="K472" s="4196"/>
      <c r="L472" s="4104" t="s">
        <v>445</v>
      </c>
      <c r="M472" s="4108"/>
      <c r="N472" s="4109"/>
      <c r="O472" s="1979"/>
      <c r="P472" s="1979"/>
    </row>
    <row r="473" spans="1:16" s="4110" customFormat="1" ht="18.75" customHeight="1">
      <c r="A473" s="2041"/>
      <c r="B473" s="2041"/>
      <c r="C473" s="4103" t="s">
        <v>1196</v>
      </c>
      <c r="D473" s="4905"/>
      <c r="E473" s="4906"/>
      <c r="F473" s="4906"/>
      <c r="G473" s="4876"/>
      <c r="H473" s="4522"/>
      <c r="I473" s="4523" t="s">
        <v>1195</v>
      </c>
      <c r="J473" s="4524"/>
      <c r="K473" s="4525"/>
      <c r="L473" s="4526"/>
      <c r="M473" s="4108"/>
      <c r="N473" s="4109"/>
      <c r="O473" s="1979"/>
      <c r="P473" s="1979"/>
    </row>
    <row r="474" spans="1:16" s="4110" customFormat="1" ht="18.75" customHeight="1">
      <c r="A474" s="2041" t="s">
        <v>312</v>
      </c>
      <c r="B474" s="2041" t="s">
        <v>397</v>
      </c>
      <c r="C474" s="4103"/>
      <c r="D474" s="4905"/>
      <c r="E474" s="4906"/>
      <c r="F474" s="4906"/>
      <c r="G474" s="4876" t="str">
        <f>INDEX(PT_DIFFERENTIATION_NTAR,MATCH(B474,PT_DIFFERENTIATION_NTAR_ID,0))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H474" s="4104"/>
      <c r="I474" s="4105"/>
      <c r="J474" s="4106"/>
      <c r="K474" s="4196"/>
      <c r="L474" s="4104" t="s">
        <v>445</v>
      </c>
      <c r="M474" s="4108"/>
      <c r="N474" s="4109"/>
      <c r="O474" s="1979"/>
      <c r="P474" s="1979"/>
    </row>
    <row r="475" spans="1:16" s="4110" customFormat="1" ht="18.75" customHeight="1">
      <c r="A475" s="2041"/>
      <c r="B475" s="2041"/>
      <c r="C475" s="4103" t="s">
        <v>1196</v>
      </c>
      <c r="D475" s="4905"/>
      <c r="E475" s="4906"/>
      <c r="F475" s="4906"/>
      <c r="G475" s="4876"/>
      <c r="H475" s="4527"/>
      <c r="I475" s="4528" t="s">
        <v>1195</v>
      </c>
      <c r="J475" s="4529"/>
      <c r="K475" s="4530"/>
      <c r="L475" s="4531"/>
      <c r="M475" s="4108"/>
      <c r="N475" s="4109"/>
      <c r="O475" s="1979"/>
      <c r="P475" s="1979"/>
    </row>
    <row r="476" spans="1:16" s="4110" customFormat="1" ht="18.75" customHeight="1">
      <c r="A476" s="2041" t="s">
        <v>312</v>
      </c>
      <c r="B476" s="2041" t="s">
        <v>403</v>
      </c>
      <c r="C476" s="4103"/>
      <c r="D476" s="4905"/>
      <c r="E476" s="4906"/>
      <c r="F476" s="4906"/>
      <c r="G476" s="4876" t="str">
        <f>INDEX(PT_DIFFERENTIATION_NTAR,MATCH(B476,PT_DIFFERENTIATION_NTAR_ID,0))</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H476" s="4104"/>
      <c r="I476" s="4105"/>
      <c r="J476" s="4106"/>
      <c r="K476" s="4196"/>
      <c r="L476" s="4104" t="s">
        <v>445</v>
      </c>
      <c r="M476" s="4108"/>
      <c r="N476" s="4109"/>
      <c r="O476" s="1979"/>
      <c r="P476" s="1979"/>
    </row>
    <row r="477" spans="1:16" s="4110" customFormat="1" ht="18.75" customHeight="1">
      <c r="A477" s="2041"/>
      <c r="B477" s="2041"/>
      <c r="C477" s="4103" t="s">
        <v>1196</v>
      </c>
      <c r="D477" s="4905"/>
      <c r="E477" s="4906"/>
      <c r="F477" s="4906"/>
      <c r="G477" s="4876"/>
      <c r="H477" s="4532"/>
      <c r="I477" s="4533" t="s">
        <v>1195</v>
      </c>
      <c r="J477" s="4534"/>
      <c r="K477" s="4535"/>
      <c r="L477" s="4536"/>
      <c r="M477" s="4108"/>
      <c r="N477" s="4109"/>
      <c r="O477" s="1979"/>
      <c r="P477" s="1979"/>
    </row>
    <row r="478" spans="1:16" s="1924" customFormat="1" ht="0.75" hidden="1" customHeight="1">
      <c r="A478" s="1692"/>
      <c r="B478" s="1692"/>
      <c r="C478" s="298" t="s">
        <v>1203</v>
      </c>
      <c r="D478" s="4904"/>
      <c r="E478" s="4713"/>
      <c r="F478" s="4848"/>
      <c r="G478" s="335"/>
      <c r="H478" s="1411"/>
      <c r="I478" s="573"/>
      <c r="J478" s="497"/>
      <c r="K478" s="1411"/>
      <c r="L478" s="135"/>
      <c r="M478" s="268"/>
      <c r="N478" s="261"/>
      <c r="O478" s="1537"/>
      <c r="P478" s="1537"/>
    </row>
    <row r="479" spans="1:16" s="1924" customFormat="1" ht="18.75" hidden="1" customHeight="1">
      <c r="A479" s="1692" t="s">
        <v>409</v>
      </c>
      <c r="B479" s="1692" t="s">
        <v>410</v>
      </c>
      <c r="C479" s="298"/>
      <c r="D479" s="4904"/>
      <c r="E479" s="4713"/>
      <c r="F479" s="4848" t="str">
        <f>INDEX(PT_DIFFERENTIATION_VTAR,MATCH(A479,PT_DIFFERENTIATION_VTAR_ID,0))</f>
        <v>Тариф на транспортировку сточных вод</v>
      </c>
      <c r="G479" s="4876" t="str">
        <f>INDEX(PT_DIFFERENTIATION_NTAR,MATCH(B479,PT_DIFFERENTIATION_NTAR_ID,0))</f>
        <v/>
      </c>
      <c r="H479" s="1774"/>
      <c r="I479" s="1650"/>
      <c r="J479" s="1685"/>
      <c r="K479" s="1690"/>
      <c r="L479" s="1774" t="s">
        <v>445</v>
      </c>
      <c r="M479" s="268"/>
      <c r="N479" s="261"/>
      <c r="O479" s="1537"/>
      <c r="P479" s="1537"/>
    </row>
    <row r="480" spans="1:16" s="1924" customFormat="1" ht="18.75" hidden="1" customHeight="1">
      <c r="A480" s="1692"/>
      <c r="B480" s="1692"/>
      <c r="C480" s="298" t="s">
        <v>1196</v>
      </c>
      <c r="D480" s="4904"/>
      <c r="E480" s="4713"/>
      <c r="F480" s="4848"/>
      <c r="G480" s="4876"/>
      <c r="H480" s="1411"/>
      <c r="I480" s="573" t="s">
        <v>1195</v>
      </c>
      <c r="J480" s="497"/>
      <c r="K480" s="1411"/>
      <c r="L480" s="135"/>
      <c r="M480" s="268"/>
      <c r="N480" s="261"/>
      <c r="O480" s="1537"/>
      <c r="P480" s="1537"/>
    </row>
    <row r="481" spans="1:16" s="1924" customFormat="1" ht="0.75" hidden="1" customHeight="1">
      <c r="A481" s="1692"/>
      <c r="B481" s="1692"/>
      <c r="C481" s="298" t="s">
        <v>1203</v>
      </c>
      <c r="D481" s="4904"/>
      <c r="E481" s="4713"/>
      <c r="F481" s="4848"/>
      <c r="G481" s="335"/>
      <c r="H481" s="1411"/>
      <c r="I481" s="573"/>
      <c r="J481" s="497"/>
      <c r="K481" s="1411"/>
      <c r="L481" s="135"/>
      <c r="M481" s="268"/>
      <c r="N481" s="261"/>
      <c r="O481" s="1537"/>
      <c r="P481" s="1537"/>
    </row>
    <row r="482" spans="1:16" s="1924" customFormat="1" ht="18.75" hidden="1" customHeight="1">
      <c r="A482" s="1692" t="s">
        <v>414</v>
      </c>
      <c r="B482" s="1692" t="s">
        <v>415</v>
      </c>
      <c r="C482" s="298"/>
      <c r="D482" s="4904"/>
      <c r="E482" s="4713"/>
      <c r="F482" s="4848" t="str">
        <f>INDEX(PT_DIFFERENTIATION_VTAR,MATCH(A482,PT_DIFFERENTIATION_VTAR_ID,0))</f>
        <v>Тариф на подключение (технологическое присоединение) к централизованной системе водоотведения</v>
      </c>
      <c r="G482" s="4876" t="str">
        <f>INDEX(PT_DIFFERENTIATION_NTAR,MATCH(B482,PT_DIFFERENTIATION_NTAR_ID,0))</f>
        <v/>
      </c>
      <c r="H482" s="1774"/>
      <c r="I482" s="1650"/>
      <c r="J482" s="1685"/>
      <c r="K482" s="1690"/>
      <c r="L482" s="1774" t="s">
        <v>445</v>
      </c>
      <c r="M482" s="268"/>
      <c r="N482" s="261"/>
      <c r="O482" s="1537"/>
      <c r="P482" s="1537"/>
    </row>
    <row r="483" spans="1:16" s="1924" customFormat="1" ht="18.75" hidden="1" customHeight="1">
      <c r="A483" s="1692"/>
      <c r="B483" s="1692"/>
      <c r="C483" s="298" t="s">
        <v>1196</v>
      </c>
      <c r="D483" s="4904"/>
      <c r="E483" s="4713"/>
      <c r="F483" s="4848"/>
      <c r="G483" s="4876"/>
      <c r="H483" s="1411"/>
      <c r="I483" s="573" t="s">
        <v>1195</v>
      </c>
      <c r="J483" s="497"/>
      <c r="K483" s="1411"/>
      <c r="L483" s="135"/>
      <c r="M483" s="268"/>
      <c r="N483" s="261"/>
      <c r="O483" s="1537"/>
      <c r="P483" s="1537"/>
    </row>
    <row r="484" spans="1:16" s="1924" customFormat="1" ht="0.75" customHeight="1">
      <c r="A484" s="1692"/>
      <c r="B484" s="1692"/>
      <c r="C484" s="298" t="s">
        <v>1203</v>
      </c>
      <c r="D484" s="4904"/>
      <c r="E484" s="4713"/>
      <c r="F484" s="4848"/>
      <c r="G484" s="335"/>
      <c r="H484" s="1411"/>
      <c r="I484" s="573"/>
      <c r="J484" s="497"/>
      <c r="K484" s="1411"/>
      <c r="L484" s="135"/>
      <c r="M484" s="268"/>
      <c r="N484" s="261"/>
      <c r="O484" s="1537"/>
      <c r="P484" s="1537"/>
    </row>
    <row r="485" spans="1:16" s="4100" customFormat="1" ht="3" customHeight="1">
      <c r="A485" s="1692"/>
      <c r="B485" s="1692"/>
      <c r="C485" s="1693"/>
      <c r="E485" s="337"/>
      <c r="F485" s="337"/>
      <c r="G485" s="337"/>
      <c r="H485" s="337"/>
      <c r="I485" s="337"/>
      <c r="J485" s="337"/>
      <c r="K485" s="337"/>
      <c r="L485" s="337"/>
      <c r="M485" s="337"/>
      <c r="O485" s="117"/>
      <c r="P485" s="117"/>
    </row>
    <row r="486" spans="1:16" ht="24.75" customHeight="1">
      <c r="E486" s="123"/>
      <c r="F486" s="4779"/>
      <c r="G486" s="4779"/>
      <c r="H486" s="4779"/>
      <c r="I486" s="4779"/>
      <c r="J486" s="4779"/>
      <c r="K486" s="4779"/>
      <c r="L486" s="4779"/>
      <c r="M486" s="4779"/>
    </row>
  </sheetData>
  <sheetProtection formatColumns="0" formatRows="0" insertRows="0" deleteColumns="0" deleteRows="0" sort="0" autoFilter="0"/>
  <mergeCells count="493">
    <mergeCell ref="G476:G477"/>
    <mergeCell ref="G374:G375"/>
    <mergeCell ref="G466:G467"/>
    <mergeCell ref="G98:G99"/>
    <mergeCell ref="G192:G193"/>
    <mergeCell ref="G284:G285"/>
    <mergeCell ref="G376:G377"/>
    <mergeCell ref="G468:G469"/>
    <mergeCell ref="G100:G101"/>
    <mergeCell ref="G194:G195"/>
    <mergeCell ref="G286:G287"/>
    <mergeCell ref="G378:G379"/>
    <mergeCell ref="G102:G103"/>
    <mergeCell ref="G196:G197"/>
    <mergeCell ref="G288:G289"/>
    <mergeCell ref="G380:G381"/>
    <mergeCell ref="G104:G105"/>
    <mergeCell ref="G198:G199"/>
    <mergeCell ref="G290:G291"/>
    <mergeCell ref="G382:G383"/>
    <mergeCell ref="G106:G107"/>
    <mergeCell ref="G200:G201"/>
    <mergeCell ref="G292:G293"/>
    <mergeCell ref="G384:G385"/>
    <mergeCell ref="G180:G181"/>
    <mergeCell ref="G272:G273"/>
    <mergeCell ref="G364:G365"/>
    <mergeCell ref="G456:G457"/>
    <mergeCell ref="G88:G89"/>
    <mergeCell ref="G182:G183"/>
    <mergeCell ref="G274:G275"/>
    <mergeCell ref="G366:G367"/>
    <mergeCell ref="G458:G459"/>
    <mergeCell ref="G90:G91"/>
    <mergeCell ref="G184:G185"/>
    <mergeCell ref="G276:G277"/>
    <mergeCell ref="G368:G369"/>
    <mergeCell ref="G92:G93"/>
    <mergeCell ref="G186:G187"/>
    <mergeCell ref="G278:G279"/>
    <mergeCell ref="G370:G371"/>
    <mergeCell ref="G94:G95"/>
    <mergeCell ref="G188:G189"/>
    <mergeCell ref="G280:G281"/>
    <mergeCell ref="G372:G373"/>
    <mergeCell ref="G96:G97"/>
    <mergeCell ref="G190:G191"/>
    <mergeCell ref="G282:G283"/>
    <mergeCell ref="G168:G169"/>
    <mergeCell ref="G260:G261"/>
    <mergeCell ref="G352:G353"/>
    <mergeCell ref="G444:G445"/>
    <mergeCell ref="G76:G77"/>
    <mergeCell ref="G170:G171"/>
    <mergeCell ref="G262:G263"/>
    <mergeCell ref="G354:G355"/>
    <mergeCell ref="G446:G447"/>
    <mergeCell ref="G78:G79"/>
    <mergeCell ref="G172:G173"/>
    <mergeCell ref="G264:G265"/>
    <mergeCell ref="G356:G357"/>
    <mergeCell ref="G80:G81"/>
    <mergeCell ref="G174:G175"/>
    <mergeCell ref="G266:G267"/>
    <mergeCell ref="G358:G359"/>
    <mergeCell ref="G82:G83"/>
    <mergeCell ref="G176:G177"/>
    <mergeCell ref="G268:G269"/>
    <mergeCell ref="G360:G361"/>
    <mergeCell ref="G84:G85"/>
    <mergeCell ref="G178:G179"/>
    <mergeCell ref="G270:G27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486:M486"/>
    <mergeCell ref="F393:L393"/>
    <mergeCell ref="D394:D396"/>
    <mergeCell ref="E394:E396"/>
    <mergeCell ref="F394:F396"/>
    <mergeCell ref="D397:D399"/>
    <mergeCell ref="E397:E399"/>
    <mergeCell ref="F397:F399"/>
    <mergeCell ref="D400:D402"/>
    <mergeCell ref="D406:D408"/>
    <mergeCell ref="E406:E408"/>
    <mergeCell ref="F406:F408"/>
    <mergeCell ref="D409:D411"/>
    <mergeCell ref="E409:E411"/>
    <mergeCell ref="F409:F411"/>
    <mergeCell ref="E400:E402"/>
    <mergeCell ref="F400:F402"/>
    <mergeCell ref="D403:D405"/>
    <mergeCell ref="E403:E405"/>
    <mergeCell ref="D121:D123"/>
    <mergeCell ref="E121:E123"/>
    <mergeCell ref="G45:G46"/>
    <mergeCell ref="G48:G49"/>
    <mergeCell ref="G51:G52"/>
    <mergeCell ref="G54:G55"/>
    <mergeCell ref="M302:M305"/>
    <mergeCell ref="M118:M121"/>
    <mergeCell ref="F209:L209"/>
    <mergeCell ref="M210:M213"/>
    <mergeCell ref="F301:L301"/>
    <mergeCell ref="F48:F50"/>
    <mergeCell ref="F51:F53"/>
    <mergeCell ref="F72:F108"/>
    <mergeCell ref="F109:F111"/>
    <mergeCell ref="F121:F123"/>
    <mergeCell ref="F124:F126"/>
    <mergeCell ref="M24:M114"/>
    <mergeCell ref="G42:G43"/>
    <mergeCell ref="G157:G158"/>
    <mergeCell ref="G160:G161"/>
    <mergeCell ref="G163:G164"/>
    <mergeCell ref="G166:G167"/>
    <mergeCell ref="G216:G217"/>
    <mergeCell ref="G219:G220"/>
    <mergeCell ref="G222:G223"/>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127:F129"/>
    <mergeCell ref="D130:D132"/>
    <mergeCell ref="E130:E132"/>
    <mergeCell ref="F130:F132"/>
    <mergeCell ref="D112:D114"/>
    <mergeCell ref="E112:E114"/>
    <mergeCell ref="F112:F114"/>
    <mergeCell ref="D118:D120"/>
    <mergeCell ref="E118:E120"/>
    <mergeCell ref="F118:F120"/>
    <mergeCell ref="D127:D129"/>
    <mergeCell ref="E127:E129"/>
    <mergeCell ref="F115:L115"/>
    <mergeCell ref="H116:I116"/>
    <mergeCell ref="F117:L117"/>
    <mergeCell ref="D72:D108"/>
    <mergeCell ref="E72:E108"/>
    <mergeCell ref="D109:D111"/>
    <mergeCell ref="E109:E111"/>
    <mergeCell ref="D124:D126"/>
    <mergeCell ref="E124:E126"/>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45:D147"/>
    <mergeCell ref="E145:E147"/>
    <mergeCell ref="F145:F147"/>
    <mergeCell ref="D148:D150"/>
    <mergeCell ref="E148:E150"/>
    <mergeCell ref="F148:F150"/>
    <mergeCell ref="G148:G149"/>
    <mergeCell ref="G151:G152"/>
    <mergeCell ref="G154:G155"/>
    <mergeCell ref="D151:D153"/>
    <mergeCell ref="E151:E153"/>
    <mergeCell ref="F151:F153"/>
    <mergeCell ref="D154:D156"/>
    <mergeCell ref="E154:E156"/>
    <mergeCell ref="F154:F156"/>
    <mergeCell ref="D163:D165"/>
    <mergeCell ref="E163:E165"/>
    <mergeCell ref="F163:F165"/>
    <mergeCell ref="D166:D202"/>
    <mergeCell ref="E166:E202"/>
    <mergeCell ref="F166:F202"/>
    <mergeCell ref="D157:D159"/>
    <mergeCell ref="E157:E159"/>
    <mergeCell ref="F157:F159"/>
    <mergeCell ref="D160:D162"/>
    <mergeCell ref="E160:E162"/>
    <mergeCell ref="F160:F162"/>
    <mergeCell ref="G225:G226"/>
    <mergeCell ref="D213:D215"/>
    <mergeCell ref="E213:E215"/>
    <mergeCell ref="F213:F215"/>
    <mergeCell ref="D203:D205"/>
    <mergeCell ref="E203:E205"/>
    <mergeCell ref="F203:F205"/>
    <mergeCell ref="D206:D208"/>
    <mergeCell ref="E206:E208"/>
    <mergeCell ref="F206:F208"/>
    <mergeCell ref="D210:D212"/>
    <mergeCell ref="E210:E212"/>
    <mergeCell ref="F210:F212"/>
    <mergeCell ref="G203:G204"/>
    <mergeCell ref="G206:G207"/>
    <mergeCell ref="G210:G211"/>
    <mergeCell ref="G213:G214"/>
    <mergeCell ref="D222:D224"/>
    <mergeCell ref="E222:E224"/>
    <mergeCell ref="F222:F224"/>
    <mergeCell ref="D225:D227"/>
    <mergeCell ref="E225:E227"/>
    <mergeCell ref="F225:F227"/>
    <mergeCell ref="D216:D218"/>
    <mergeCell ref="E216:E218"/>
    <mergeCell ref="F216:F218"/>
    <mergeCell ref="D219:D221"/>
    <mergeCell ref="E219:E221"/>
    <mergeCell ref="F219:F221"/>
    <mergeCell ref="D228:D230"/>
    <mergeCell ref="E228:E230"/>
    <mergeCell ref="F228:F230"/>
    <mergeCell ref="D231:D233"/>
    <mergeCell ref="E231:E233"/>
    <mergeCell ref="F231:F233"/>
    <mergeCell ref="G228:G229"/>
    <mergeCell ref="G231:G232"/>
    <mergeCell ref="G234:G235"/>
    <mergeCell ref="G240:G241"/>
    <mergeCell ref="G243:G244"/>
    <mergeCell ref="G246:G247"/>
    <mergeCell ref="G249:G250"/>
    <mergeCell ref="D234:D236"/>
    <mergeCell ref="E234:E236"/>
    <mergeCell ref="F234:F236"/>
    <mergeCell ref="D237:D239"/>
    <mergeCell ref="E237:E239"/>
    <mergeCell ref="F237:F239"/>
    <mergeCell ref="G237:G238"/>
    <mergeCell ref="D246:D248"/>
    <mergeCell ref="E246:E248"/>
    <mergeCell ref="F246:F248"/>
    <mergeCell ref="D249:D251"/>
    <mergeCell ref="E249:E251"/>
    <mergeCell ref="F249:F251"/>
    <mergeCell ref="D240:D242"/>
    <mergeCell ref="E240:E242"/>
    <mergeCell ref="F240:F242"/>
    <mergeCell ref="D243:D245"/>
    <mergeCell ref="E243:E245"/>
    <mergeCell ref="F243:F245"/>
    <mergeCell ref="D252:D254"/>
    <mergeCell ref="E252:E254"/>
    <mergeCell ref="F252:F254"/>
    <mergeCell ref="D255:D257"/>
    <mergeCell ref="E255:E257"/>
    <mergeCell ref="F255:F257"/>
    <mergeCell ref="G252:G253"/>
    <mergeCell ref="G255:G256"/>
    <mergeCell ref="G258:G259"/>
    <mergeCell ref="G298:G299"/>
    <mergeCell ref="G302:G303"/>
    <mergeCell ref="G305:G306"/>
    <mergeCell ref="G308:G309"/>
    <mergeCell ref="D258:D294"/>
    <mergeCell ref="E258:E294"/>
    <mergeCell ref="F258:F294"/>
    <mergeCell ref="D295:D297"/>
    <mergeCell ref="E295:E297"/>
    <mergeCell ref="F295:F297"/>
    <mergeCell ref="G295:G296"/>
    <mergeCell ref="D305:D307"/>
    <mergeCell ref="E305:E307"/>
    <mergeCell ref="F305:F307"/>
    <mergeCell ref="D308:D310"/>
    <mergeCell ref="E308:E310"/>
    <mergeCell ref="F308:F310"/>
    <mergeCell ref="D298:D300"/>
    <mergeCell ref="E298:E300"/>
    <mergeCell ref="F298:F300"/>
    <mergeCell ref="D302:D304"/>
    <mergeCell ref="E302:E304"/>
    <mergeCell ref="F302:F304"/>
    <mergeCell ref="D311:D313"/>
    <mergeCell ref="E311:E313"/>
    <mergeCell ref="F311:F313"/>
    <mergeCell ref="D314:D316"/>
    <mergeCell ref="E314:E316"/>
    <mergeCell ref="F314:F316"/>
    <mergeCell ref="G311:G312"/>
    <mergeCell ref="G314:G315"/>
    <mergeCell ref="G317:G318"/>
    <mergeCell ref="G323:G324"/>
    <mergeCell ref="G326:G327"/>
    <mergeCell ref="G329:G330"/>
    <mergeCell ref="G332:G333"/>
    <mergeCell ref="D317:D319"/>
    <mergeCell ref="E317:E319"/>
    <mergeCell ref="F317:F319"/>
    <mergeCell ref="D320:D322"/>
    <mergeCell ref="E320:E322"/>
    <mergeCell ref="F320:F322"/>
    <mergeCell ref="G320:G321"/>
    <mergeCell ref="D329:D331"/>
    <mergeCell ref="E329:E331"/>
    <mergeCell ref="F329:F331"/>
    <mergeCell ref="D332:D334"/>
    <mergeCell ref="E332:E334"/>
    <mergeCell ref="F332:F334"/>
    <mergeCell ref="D323:D325"/>
    <mergeCell ref="E323:E325"/>
    <mergeCell ref="F323:F325"/>
    <mergeCell ref="D326:D328"/>
    <mergeCell ref="E326:E328"/>
    <mergeCell ref="F326:F328"/>
    <mergeCell ref="D335:D337"/>
    <mergeCell ref="E335:E337"/>
    <mergeCell ref="F335:F337"/>
    <mergeCell ref="D338:D340"/>
    <mergeCell ref="E338:E340"/>
    <mergeCell ref="F338:F340"/>
    <mergeCell ref="G335:G336"/>
    <mergeCell ref="G338:G339"/>
    <mergeCell ref="G341:G342"/>
    <mergeCell ref="G347:G348"/>
    <mergeCell ref="G350:G351"/>
    <mergeCell ref="G387:G388"/>
    <mergeCell ref="G390:G391"/>
    <mergeCell ref="D341:D343"/>
    <mergeCell ref="E341:E343"/>
    <mergeCell ref="F341:F343"/>
    <mergeCell ref="D344:D346"/>
    <mergeCell ref="E344:E346"/>
    <mergeCell ref="F344:F346"/>
    <mergeCell ref="G344:G345"/>
    <mergeCell ref="D387:D389"/>
    <mergeCell ref="E387:E389"/>
    <mergeCell ref="F387:F389"/>
    <mergeCell ref="D390:D392"/>
    <mergeCell ref="E390:E392"/>
    <mergeCell ref="F390:F392"/>
    <mergeCell ref="D347:D349"/>
    <mergeCell ref="E347:E349"/>
    <mergeCell ref="F347:F349"/>
    <mergeCell ref="D350:D386"/>
    <mergeCell ref="E350:E386"/>
    <mergeCell ref="F350:F386"/>
    <mergeCell ref="G362:G363"/>
    <mergeCell ref="F424:F426"/>
    <mergeCell ref="D427:D429"/>
    <mergeCell ref="E427:E429"/>
    <mergeCell ref="F427:F429"/>
    <mergeCell ref="G424:G425"/>
    <mergeCell ref="G427:G428"/>
    <mergeCell ref="G430:G431"/>
    <mergeCell ref="G433:G434"/>
    <mergeCell ref="F403:F405"/>
    <mergeCell ref="D418:D420"/>
    <mergeCell ref="E418:E420"/>
    <mergeCell ref="F418:F420"/>
    <mergeCell ref="D421:D423"/>
    <mergeCell ref="E421:E423"/>
    <mergeCell ref="F421:F423"/>
    <mergeCell ref="D412:D414"/>
    <mergeCell ref="E412:E414"/>
    <mergeCell ref="F412:F414"/>
    <mergeCell ref="D415:D417"/>
    <mergeCell ref="E415:E417"/>
    <mergeCell ref="F415:F417"/>
    <mergeCell ref="G421:G422"/>
    <mergeCell ref="D482:D484"/>
    <mergeCell ref="E482:E484"/>
    <mergeCell ref="F482:F484"/>
    <mergeCell ref="M394:M397"/>
    <mergeCell ref="D442:D478"/>
    <mergeCell ref="E442:E478"/>
    <mergeCell ref="F442:F478"/>
    <mergeCell ref="D479:D481"/>
    <mergeCell ref="E479:E481"/>
    <mergeCell ref="F479:F481"/>
    <mergeCell ref="D436:D438"/>
    <mergeCell ref="E436:E438"/>
    <mergeCell ref="F436:F438"/>
    <mergeCell ref="D439:D441"/>
    <mergeCell ref="E439:E441"/>
    <mergeCell ref="F439:F441"/>
    <mergeCell ref="D430:D432"/>
    <mergeCell ref="E430:E432"/>
    <mergeCell ref="F430:F432"/>
    <mergeCell ref="D433:D435"/>
    <mergeCell ref="E433:E435"/>
    <mergeCell ref="F433:F435"/>
    <mergeCell ref="D424:D426"/>
    <mergeCell ref="E424:E426"/>
    <mergeCell ref="G57:G58"/>
    <mergeCell ref="G60:G61"/>
    <mergeCell ref="G63:G64"/>
    <mergeCell ref="G66:G67"/>
    <mergeCell ref="G69:G70"/>
    <mergeCell ref="G72:G73"/>
    <mergeCell ref="G109:G110"/>
    <mergeCell ref="G112:G113"/>
    <mergeCell ref="G118:G119"/>
    <mergeCell ref="G74:G75"/>
    <mergeCell ref="G86:G87"/>
    <mergeCell ref="G121:G122"/>
    <mergeCell ref="G124:G125"/>
    <mergeCell ref="G127:G128"/>
    <mergeCell ref="G130:G131"/>
    <mergeCell ref="G133:G134"/>
    <mergeCell ref="G136:G137"/>
    <mergeCell ref="G139:G140"/>
    <mergeCell ref="G142:G143"/>
    <mergeCell ref="G145:G146"/>
    <mergeCell ref="G436:G437"/>
    <mergeCell ref="G439:G440"/>
    <mergeCell ref="G442:G443"/>
    <mergeCell ref="G479:G480"/>
    <mergeCell ref="G482:G483"/>
    <mergeCell ref="G394:G395"/>
    <mergeCell ref="G397:G398"/>
    <mergeCell ref="G400:G401"/>
    <mergeCell ref="G403:G404"/>
    <mergeCell ref="G406:G407"/>
    <mergeCell ref="G409:G410"/>
    <mergeCell ref="G412:G413"/>
    <mergeCell ref="G415:G416"/>
    <mergeCell ref="G418:G419"/>
    <mergeCell ref="G448:G449"/>
    <mergeCell ref="G450:G451"/>
    <mergeCell ref="G452:G453"/>
    <mergeCell ref="G454:G455"/>
    <mergeCell ref="G460:G461"/>
    <mergeCell ref="G462:G463"/>
    <mergeCell ref="G464:G465"/>
    <mergeCell ref="G470:G471"/>
    <mergeCell ref="G472:G473"/>
    <mergeCell ref="G474:G475"/>
  </mergeCells>
  <dataValidations count="4">
    <dataValidation type="decimal" allowBlank="1" showErrorMessage="1" errorTitle="Ошибка" error="Допускается ввод только действительных чисел!" sqref="K302 K305 K308 K311 K314 K317 K320 K323 K326 K329 K332 K335 K338 K341 K344 K347 K350 K387 K10 K118 K203 K166 K163 K160 K157 K154 K151 K148 K145 K142 K139 K136 K133 K130 K127 K124 K121 K210 K206 K213 K216 K219 K222 K225 K228 K231 K234 K237 K240 K243 K246 K252 K255 K258 K295 K298 K249 K390 K394 K397 K400 K403 K406 K409 K412 K415 K418 K421 K424 K427 K430 K433 K436 K439 K442 K479 K482 K5 K168 K260 K352 K444 K170 K262 K354 K446 K172 K264 K356 K448 K174 K266 K358 K450 K176 K268 K360 K452 K178 K270 K362 K454 K180 K272 K364 K456 K182 K274 K366 K458 K184 K276 K368 K460 K186 K278 K370 K462 K188 K280 K372 K464 K190 K282 K374 K466 K192 K284 K376 K468 K194 K286 K378 K470 K196 K288 K380 K472 K198 K290 K382 K474 K200 K292 K384 K47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10:M211 M302:M303 M23 M118:M119 M394:M39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1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109:J109 I302:J302 I305:J305 I308:J308 I311:J311 I314:J314 I317:J317 I320:J320 I323:J323 I326:J326 I329:J329 I332:J332 I335:J335 I338:J338 I341:J341 I344:J344 I347:J347 I350:J350 I8:J8 I112:J112 I206:J206 I121:J121 I124:J124 I127:J127 I130:J130 I133:J133 I136:J136 I139:J139 I142:J142 I145:J145 I148:J148 I151:J151 I154:J154 I157:J157 I160:J160 I163:J163 I166:J166 I203:J203 I210:J210 I118:J118 I213:J213 I216:J216 I219:J219 I222:J222 I225:J225 I228:J228 I231:J231 I234:J234 I237:J237 I240:J240 I243:J243 I246:J246 I252:J252 I255:J255 I258:J258 I295:J295 I298:J298 I249:J249 I387:J387 I390:J390 I394:J394 I397:J397 I400:J400 I403:J403 I406:J406 I409:J409 I412:J412 I415:J415 I418:J418 I421:J421 I424:J424 I427:J427 I430:J430 I433:J433 I436:J436 I439:J439 I442:J442 I479:J479 I482:J482 I2:J2 I5:J5 I74 J74 I168 J168 I260 J260 I352 J352 I444 J444 I76 J76 I170 J170 I262 J262 I354 J354 I446 J446 I78 J78 I172 J172 I264 J264 I356 J356 I448 J448 I80 J80 I174 J174 I266 J266 I358 J358 I450 J450 I82 J82 I176 J176 I268 J268 I360 J360 I452 J452 I84 J84 I178 J178 I270 J270 I362 J362 I454 J454 I86 J86 I180 J180 I272 J272 I364 J364 I456 J456 I88 J88 I182 J182 I274 J274 I366 J366 I458 J458 I90 J90 I184 J184 I276 J276 I368 J368 I460 J460 I92 J92 I186 J186 I278 J278 I370 J370 I462 J462 I94 J94 I188 J188 I280 J280 I372 J372 I464 J464 I96 J96 I190 J190 I282 J282 I374 J374 I466 J466 I98 J98 I192 J192 I284 J284 I376 J376 I468 J468 I100 J100 I194 J194 I286 J286 I378 J378 I470 J470 I102 J102 I196 J196 I288 J288 I380 J380 I472 J472 I104 J104 I198 J198 I290 J290 I382 J382 I474 J474 I106 J106 I200 J200 I292 J292 I384 J384 I476 J476"/>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sheetPr>
    <tabColor theme="6" tint="0.39997558519241921"/>
  </sheetPr>
  <dimension ref="A1:Q16"/>
  <sheetViews>
    <sheetView showGridLines="0" topLeftCell="C4" zoomScale="90" workbookViewId="0"/>
  </sheetViews>
  <sheetFormatPr defaultColWidth="10.5703125" defaultRowHeight="14.25" customHeight="1"/>
  <cols>
    <col min="1" max="1" width="9.140625" style="4538" hidden="1" customWidth="1"/>
    <col min="2" max="2" width="9.140625" style="4096" hidden="1" customWidth="1"/>
    <col min="3" max="3" width="3.7109375" style="1954" customWidth="1"/>
    <col min="4" max="4" width="6.28515625" style="4537" customWidth="1"/>
    <col min="5" max="5" width="53.85546875" style="4537" customWidth="1"/>
    <col min="6" max="7" width="35.7109375" style="4537" customWidth="1"/>
    <col min="8" max="8" width="89.5703125" style="4537" customWidth="1"/>
    <col min="9" max="9" width="10.5703125" style="4537"/>
    <col min="10" max="11" width="10.5703125" style="4097"/>
    <col min="12" max="17" width="10.5703125" style="4537"/>
  </cols>
  <sheetData>
    <row r="1" spans="1:17" ht="14.25" hidden="1" customHeight="1">
      <c r="N1" s="174"/>
      <c r="O1" s="174"/>
      <c r="Q1" s="174"/>
    </row>
    <row r="2" spans="1:17" s="1924" customFormat="1" ht="18.75" hidden="1" customHeight="1">
      <c r="A2" s="34"/>
      <c r="B2" s="1061"/>
      <c r="C2" s="1641" t="s">
        <v>102</v>
      </c>
      <c r="D2" s="1585"/>
      <c r="E2" s="1594"/>
      <c r="F2" s="176"/>
      <c r="G2" s="1062"/>
      <c r="H2" s="303"/>
      <c r="I2" s="1537"/>
      <c r="J2" s="1537"/>
    </row>
    <row r="3" spans="1:17" ht="14.25" hidden="1" customHeight="1"/>
    <row r="4" spans="1:17" ht="6" customHeight="1">
      <c r="C4" s="306"/>
      <c r="D4" s="291"/>
      <c r="E4" s="291"/>
      <c r="F4" s="291"/>
      <c r="G4" s="19"/>
      <c r="H4" s="19"/>
    </row>
    <row r="5" spans="1:17" ht="33" customHeight="1">
      <c r="C5" s="306"/>
      <c r="D5" s="465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4658"/>
      <c r="F5" s="4658"/>
      <c r="G5" s="4659"/>
      <c r="H5" s="185"/>
    </row>
    <row r="6" spans="1:17" s="1924" customFormat="1" ht="17.25" customHeight="1">
      <c r="A6" s="1581"/>
      <c r="B6" s="1061"/>
      <c r="C6" s="306"/>
      <c r="D6" s="4724" t="str">
        <f>IF(org=0,"Не определено",org)</f>
        <v>ОГКП "Ульяновский областной водоканал"</v>
      </c>
      <c r="E6" s="4725"/>
      <c r="F6" s="4725"/>
      <c r="G6" s="4726"/>
      <c r="H6" s="185"/>
      <c r="J6" s="1537"/>
      <c r="K6" s="1537"/>
    </row>
    <row r="7" spans="1:17" ht="14.25" customHeight="1">
      <c r="C7" s="306"/>
      <c r="D7" s="291"/>
      <c r="E7" s="324"/>
      <c r="F7" s="324"/>
      <c r="G7" s="670"/>
      <c r="H7" s="114"/>
    </row>
    <row r="8" spans="1:17" ht="14.25" customHeight="1">
      <c r="C8" s="306"/>
      <c r="D8" s="4719" t="s">
        <v>439</v>
      </c>
      <c r="E8" s="4719"/>
      <c r="F8" s="4719"/>
      <c r="G8" s="4719"/>
      <c r="H8" s="4902" t="s">
        <v>440</v>
      </c>
    </row>
    <row r="9" spans="1:17" ht="14.25" customHeight="1">
      <c r="C9" s="306"/>
      <c r="D9" s="321" t="s">
        <v>86</v>
      </c>
      <c r="E9" s="39" t="s">
        <v>441</v>
      </c>
      <c r="F9" s="39" t="s">
        <v>442</v>
      </c>
      <c r="G9" s="39" t="s">
        <v>531</v>
      </c>
      <c r="H9" s="4902"/>
    </row>
    <row r="10" spans="1:17" ht="14.25" customHeight="1">
      <c r="A10" s="269"/>
      <c r="C10" s="306"/>
      <c r="D10" s="71" t="s">
        <v>174</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6"/>
      <c r="G10" s="134"/>
      <c r="H10" s="4667" t="s">
        <v>1204</v>
      </c>
    </row>
    <row r="11" spans="1:17" ht="14.25" customHeight="1">
      <c r="A11" s="269"/>
      <c r="C11" s="306"/>
      <c r="D11" s="71" t="s">
        <v>101</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6"/>
      <c r="G11" s="134"/>
      <c r="H11" s="4668"/>
    </row>
    <row r="12" spans="1:17" ht="14.25" customHeight="1">
      <c r="A12" s="34"/>
      <c r="C12" s="322"/>
      <c r="D12" s="71" t="s">
        <v>88</v>
      </c>
      <c r="E12" s="323" t="str">
        <f>"Сведения о планировании закупочных процедур"&amp;IF(TEMPLATE_SPHERE="TKO"," &lt;1&gt;","")</f>
        <v>Сведения о планировании закупочных процедур</v>
      </c>
      <c r="F12" s="176"/>
      <c r="G12" s="134"/>
      <c r="H12" s="46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89</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4668"/>
      <c r="I13" s="276"/>
      <c r="K13" s="303"/>
    </row>
    <row r="14" spans="1:17" ht="14.25" customHeight="1">
      <c r="A14" s="269"/>
      <c r="C14" s="306"/>
      <c r="D14" s="273"/>
      <c r="E14" s="330" t="s">
        <v>1172</v>
      </c>
      <c r="F14" s="275"/>
      <c r="G14" s="122"/>
      <c r="H14" s="4669"/>
    </row>
    <row r="15" spans="1:17" s="1924" customFormat="1" ht="14.25" customHeight="1">
      <c r="A15" s="269"/>
      <c r="B15" s="1061"/>
      <c r="C15" s="306"/>
      <c r="D15" s="331"/>
      <c r="E15" s="1589"/>
      <c r="F15" s="1590"/>
      <c r="G15" s="1591"/>
      <c r="H15" s="1592"/>
      <c r="J15" s="1537"/>
      <c r="K15" s="1537"/>
    </row>
    <row r="16" spans="1:17" ht="14.25" customHeight="1">
      <c r="D16" s="1593"/>
      <c r="E16" s="4779"/>
      <c r="F16" s="4779"/>
      <c r="G16" s="4779"/>
      <c r="H16" s="4779"/>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sheetPr>
    <tabColor theme="2" tint="-9.9978637043366805E-2"/>
  </sheetPr>
  <dimension ref="A1:U29"/>
  <sheetViews>
    <sheetView showGridLines="0" topLeftCell="C4" zoomScale="90" workbookViewId="0"/>
  </sheetViews>
  <sheetFormatPr defaultColWidth="10.5703125" defaultRowHeight="15" customHeight="1"/>
  <cols>
    <col min="1" max="1" width="9.140625" style="1936" hidden="1" customWidth="1"/>
    <col min="2" max="2" width="9.140625" style="1938" hidden="1" customWidth="1"/>
    <col min="3" max="3" width="4.7109375" style="4080" customWidth="1"/>
    <col min="4" max="4" width="6.28515625" style="1938" customWidth="1"/>
    <col min="5" max="5" width="47.85546875" style="1938" customWidth="1"/>
    <col min="6" max="6" width="9.5703125" style="1938" customWidth="1"/>
    <col min="7" max="7" width="25.7109375" style="1824" hidden="1" customWidth="1"/>
    <col min="8" max="8" width="34" style="1824" hidden="1" customWidth="1"/>
    <col min="9" max="9" width="25.7109375" style="1938" customWidth="1"/>
    <col min="10" max="10" width="34" style="1938" customWidth="1"/>
    <col min="11" max="11" width="50.85546875" style="1825" customWidth="1"/>
    <col min="12" max="20" width="10.5703125" style="1938"/>
    <col min="21" max="21" width="10.5703125" style="4079"/>
  </cols>
  <sheetData>
    <row r="1" spans="1:21" s="1825" customFormat="1" ht="15" hidden="1" customHeight="1">
      <c r="C1" s="594"/>
      <c r="G1" s="352">
        <v>4</v>
      </c>
      <c r="I1" s="352">
        <v>4</v>
      </c>
      <c r="U1" s="354"/>
    </row>
    <row r="2" spans="1:21" s="1826" customFormat="1" ht="15" hidden="1" customHeight="1">
      <c r="A2" s="290"/>
      <c r="C2" s="97"/>
      <c r="D2" s="272"/>
      <c r="E2" s="595"/>
      <c r="F2" s="449"/>
      <c r="G2" s="538"/>
      <c r="H2" s="538"/>
      <c r="I2" s="538"/>
      <c r="J2" s="538"/>
      <c r="U2" s="596"/>
    </row>
    <row r="3" spans="1:21" s="1825" customFormat="1" ht="15" hidden="1" customHeight="1">
      <c r="C3" s="594"/>
      <c r="U3" s="354"/>
    </row>
    <row r="4" spans="1:21" ht="15" customHeight="1">
      <c r="C4" s="97"/>
      <c r="D4" s="436"/>
      <c r="E4" s="436"/>
      <c r="F4" s="436"/>
      <c r="G4" s="436"/>
      <c r="H4" s="436"/>
      <c r="I4" s="436"/>
      <c r="J4" s="436"/>
    </row>
    <row r="5" spans="1:21" ht="63" customHeight="1">
      <c r="C5" s="97"/>
      <c r="D5" s="4743" t="s">
        <v>1205</v>
      </c>
      <c r="E5" s="4743"/>
      <c r="F5" s="4743"/>
      <c r="G5" s="4743"/>
      <c r="H5" s="4743"/>
      <c r="I5" s="4743"/>
      <c r="J5" s="4743"/>
    </row>
    <row r="6" spans="1:21" ht="15" customHeight="1">
      <c r="C6" s="97"/>
      <c r="D6" s="4690" t="str">
        <f>IF(org=0,"Не определено",org)</f>
        <v>ОГКП "Ульяновский областной водоканал"</v>
      </c>
      <c r="E6" s="4690"/>
      <c r="F6" s="4690"/>
      <c r="G6" s="4690"/>
      <c r="H6" s="4690"/>
      <c r="I6" s="4690"/>
      <c r="J6" s="4690"/>
      <c r="K6" s="463"/>
    </row>
    <row r="7" spans="1:21" ht="15" customHeight="1">
      <c r="C7" s="97"/>
      <c r="D7" s="670"/>
      <c r="E7" s="436"/>
      <c r="F7" s="436"/>
      <c r="G7" s="463">
        <v>22</v>
      </c>
      <c r="I7" s="463">
        <v>1</v>
      </c>
      <c r="J7" s="670"/>
    </row>
    <row r="8" spans="1:21" s="1824" customFormat="1" ht="0.75" customHeight="1">
      <c r="A8" s="677"/>
      <c r="C8" s="97"/>
      <c r="D8" s="436"/>
      <c r="E8" s="436"/>
      <c r="F8" s="436"/>
      <c r="G8" s="463"/>
      <c r="H8" s="670"/>
      <c r="I8" s="463" t="s">
        <v>179</v>
      </c>
      <c r="J8" s="670"/>
      <c r="K8" s="352"/>
      <c r="U8" s="597"/>
    </row>
    <row r="9" spans="1:21" ht="15" customHeight="1">
      <c r="C9" s="97"/>
      <c r="D9" s="631"/>
      <c r="E9" s="4834" t="s">
        <v>170</v>
      </c>
      <c r="F9" s="4835"/>
      <c r="G9" s="4855" t="str">
        <f>IF(G8="","",INDEX(DIFFERENTIATION_UNMERGE_VD,MATCH(G8,DIFFERENTIATION_ID_DIFF,0)))</f>
        <v/>
      </c>
      <c r="H9" s="4856"/>
      <c r="I9" s="4855">
        <f>IF(I8="","",INDEX(DIFFERENTIATION_UNMERGE_VD,MATCH(I8,DIFFERENTIATION_ID_DIFF,0)))</f>
        <v>0</v>
      </c>
      <c r="J9" s="4856"/>
      <c r="K9" s="4689" t="s">
        <v>440</v>
      </c>
    </row>
    <row r="10" spans="1:21" s="1824" customFormat="1" ht="15" customHeight="1">
      <c r="A10" s="677"/>
      <c r="C10" s="97"/>
      <c r="D10" s="631"/>
      <c r="E10" s="4834" t="s">
        <v>699</v>
      </c>
      <c r="F10" s="4835"/>
      <c r="G10" s="4855" t="str">
        <f>IF(G8="","",INDEX(DIFFERENTIATION_UNMERGE_AREA,MATCH(G8,DIFFERENTIATION_ID_DIFF,0)))</f>
        <v/>
      </c>
      <c r="H10" s="4856"/>
      <c r="I10" s="4855" t="str">
        <f>IF(I8="","",INDEX(DIFFERENTIATION_UNMERGE_AREA,MATCH(I8,DIFFERENTIATION_ID_DIFF,0)))</f>
        <v/>
      </c>
      <c r="J10" s="4856"/>
      <c r="K10" s="4708"/>
      <c r="U10" s="597"/>
    </row>
    <row r="11" spans="1:21" s="1824" customFormat="1" ht="15" customHeight="1">
      <c r="A11" s="677"/>
      <c r="C11" s="97"/>
      <c r="D11" s="631"/>
      <c r="E11" s="4834" t="s">
        <v>700</v>
      </c>
      <c r="F11" s="4835"/>
      <c r="G11" s="4855" t="str">
        <f>IF(G8="","",INDEX(DIFFERENTIATION_UNMERGE_SYSTEM,MATCH(G8,DIFFERENTIATION_ID_DIFF,0)))</f>
        <v/>
      </c>
      <c r="H11" s="4856"/>
      <c r="I11" s="4855" t="str">
        <f>IF(I8="","",INDEX(DIFFERENTIATION_UNMERGE_SYSTEM,MATCH(I8,DIFFERENTIATION_ID_DIFF,0)))</f>
        <v>без дифференциации</v>
      </c>
      <c r="J11" s="4856"/>
      <c r="K11" s="4708"/>
      <c r="U11" s="597"/>
    </row>
    <row r="12" spans="1:21" s="1824" customFormat="1" ht="15" customHeight="1">
      <c r="A12" s="677"/>
      <c r="C12" s="97"/>
      <c r="D12" s="4836" t="s">
        <v>439</v>
      </c>
      <c r="E12" s="4837"/>
      <c r="F12" s="4837"/>
      <c r="G12" s="801"/>
      <c r="H12" s="801"/>
      <c r="I12" s="801"/>
      <c r="J12" s="801"/>
      <c r="K12" s="4708"/>
      <c r="U12" s="597"/>
    </row>
    <row r="13" spans="1:21" ht="33.75" customHeight="1">
      <c r="C13" s="97"/>
      <c r="D13" s="723" t="s">
        <v>86</v>
      </c>
      <c r="E13" s="725" t="s">
        <v>441</v>
      </c>
      <c r="F13" s="725" t="s">
        <v>701</v>
      </c>
      <c r="G13" s="726" t="s">
        <v>442</v>
      </c>
      <c r="H13" s="725" t="s">
        <v>531</v>
      </c>
      <c r="I13" s="726" t="s">
        <v>442</v>
      </c>
      <c r="J13" s="725" t="s">
        <v>531</v>
      </c>
      <c r="K13" s="4738"/>
    </row>
    <row r="14" spans="1:21" ht="15" hidden="1" customHeight="1">
      <c r="C14" s="97"/>
      <c r="D14" s="517" t="s">
        <v>174</v>
      </c>
      <c r="E14" s="517" t="s">
        <v>101</v>
      </c>
      <c r="F14" s="517" t="s">
        <v>88</v>
      </c>
      <c r="G14" s="581" t="str">
        <f>G1&amp;".1"</f>
        <v>4.1</v>
      </c>
      <c r="H14" s="581"/>
      <c r="I14" s="581" t="str">
        <f>I1&amp;".1"</f>
        <v>4.1</v>
      </c>
      <c r="J14" s="581"/>
      <c r="K14" s="208"/>
    </row>
    <row r="15" spans="1:21" ht="22.5" hidden="1" customHeight="1">
      <c r="A15" s="432"/>
      <c r="C15" s="453"/>
      <c r="D15" s="448">
        <v>1</v>
      </c>
      <c r="E15" s="599" t="s">
        <v>858</v>
      </c>
      <c r="F15" s="448" t="s">
        <v>859</v>
      </c>
      <c r="G15" s="600"/>
      <c r="H15" s="600"/>
      <c r="I15" s="600"/>
      <c r="J15" s="600"/>
      <c r="K15" s="208" t="s">
        <v>860</v>
      </c>
    </row>
    <row r="16" spans="1:21" ht="22.5" hidden="1" customHeight="1">
      <c r="A16" s="432"/>
      <c r="C16" s="453"/>
      <c r="D16" s="448">
        <v>2</v>
      </c>
      <c r="E16" s="199" t="s">
        <v>861</v>
      </c>
      <c r="F16" s="448" t="s">
        <v>862</v>
      </c>
      <c r="G16" s="600"/>
      <c r="H16" s="600"/>
      <c r="I16" s="600"/>
      <c r="J16" s="600"/>
      <c r="K16" s="208" t="s">
        <v>863</v>
      </c>
    </row>
    <row r="17" spans="1:11" ht="123.75" hidden="1" customHeight="1">
      <c r="A17" s="432"/>
      <c r="C17" s="453"/>
      <c r="D17" s="448">
        <v>3</v>
      </c>
      <c r="E17" s="199" t="s">
        <v>1206</v>
      </c>
      <c r="F17" s="448" t="s">
        <v>445</v>
      </c>
      <c r="G17" s="600"/>
      <c r="H17" s="600"/>
      <c r="I17" s="600"/>
      <c r="J17" s="600"/>
      <c r="K17" s="208" t="s">
        <v>1207</v>
      </c>
    </row>
    <row r="18" spans="1:11" ht="45" customHeight="1">
      <c r="A18" s="432"/>
      <c r="C18" s="453"/>
      <c r="D18" s="448">
        <v>4</v>
      </c>
      <c r="E18" s="199" t="s">
        <v>864</v>
      </c>
      <c r="F18" s="448" t="s">
        <v>445</v>
      </c>
      <c r="G18" s="727" t="s">
        <v>445</v>
      </c>
      <c r="H18" s="728" t="s">
        <v>445</v>
      </c>
      <c r="I18" s="448" t="s">
        <v>445</v>
      </c>
      <c r="J18" s="504" t="s">
        <v>445</v>
      </c>
      <c r="K18" s="208" t="s">
        <v>1208</v>
      </c>
    </row>
    <row r="19" spans="1:11" ht="33.75" customHeight="1">
      <c r="A19" s="432"/>
      <c r="C19" s="453"/>
      <c r="D19" s="465" t="s">
        <v>802</v>
      </c>
      <c r="E19" s="485" t="s">
        <v>866</v>
      </c>
      <c r="F19" s="448" t="s">
        <v>867</v>
      </c>
      <c r="G19" s="735"/>
      <c r="H19" s="37"/>
      <c r="I19" s="735"/>
      <c r="J19" s="736"/>
      <c r="K19" s="601"/>
    </row>
    <row r="20" spans="1:11" ht="33.75" customHeight="1">
      <c r="A20" s="432"/>
      <c r="C20" s="453"/>
      <c r="D20" s="465" t="s">
        <v>845</v>
      </c>
      <c r="E20" s="485" t="s">
        <v>868</v>
      </c>
      <c r="F20" s="448" t="s">
        <v>869</v>
      </c>
      <c r="G20" s="735"/>
      <c r="H20" s="37"/>
      <c r="I20" s="735"/>
      <c r="J20" s="37"/>
      <c r="K20" s="601"/>
    </row>
    <row r="21" spans="1:11" ht="45" customHeight="1">
      <c r="A21" s="432"/>
      <c r="C21" s="453"/>
      <c r="D21" s="465" t="s">
        <v>848</v>
      </c>
      <c r="E21" s="485" t="s">
        <v>870</v>
      </c>
      <c r="F21" s="448" t="s">
        <v>706</v>
      </c>
      <c r="G21" s="602"/>
      <c r="H21" s="37"/>
      <c r="I21" s="602"/>
      <c r="J21" s="37"/>
      <c r="K21" s="601"/>
    </row>
    <row r="22" spans="1:11" ht="67.5" hidden="1" customHeight="1">
      <c r="A22" s="432"/>
      <c r="C22" s="453"/>
      <c r="D22" s="448">
        <v>5</v>
      </c>
      <c r="E22" s="199" t="s">
        <v>1209</v>
      </c>
      <c r="F22" s="448" t="s">
        <v>693</v>
      </c>
      <c r="G22" s="603"/>
      <c r="H22" s="604"/>
      <c r="I22" s="603"/>
      <c r="J22" s="604"/>
      <c r="K22" s="208" t="s">
        <v>1210</v>
      </c>
    </row>
    <row r="23" spans="1:11" ht="33.75" hidden="1" customHeight="1">
      <c r="C23" s="383"/>
      <c r="D23" s="448">
        <v>6</v>
      </c>
      <c r="E23" s="199" t="s">
        <v>1211</v>
      </c>
      <c r="F23" s="448" t="s">
        <v>1212</v>
      </c>
      <c r="G23" s="603"/>
      <c r="H23" s="603"/>
      <c r="I23" s="603"/>
      <c r="J23" s="603"/>
      <c r="K23" s="208" t="s">
        <v>1213</v>
      </c>
    </row>
    <row r="29" spans="1:11" ht="15" customHeight="1">
      <c r="J29" s="73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rgb="FFEAEBEE"/>
    <pageSetUpPr fitToPage="1"/>
  </sheetPr>
  <dimension ref="A1:L15"/>
  <sheetViews>
    <sheetView showGridLines="0" topLeftCell="C4" zoomScale="90" workbookViewId="0"/>
  </sheetViews>
  <sheetFormatPr defaultColWidth="9.140625" defaultRowHeight="14.25" customHeight="1"/>
  <cols>
    <col min="1" max="1" width="9.140625" style="4539" hidden="1"/>
    <col min="2" max="2" width="9.140625" style="4540" hidden="1"/>
    <col min="3" max="3" width="3.7109375" style="4541" customWidth="1"/>
    <col min="4" max="4" width="7" style="4544" customWidth="1"/>
    <col min="5" max="5" width="23.140625" style="4544" customWidth="1"/>
    <col min="6" max="6" width="16" style="4544" customWidth="1"/>
    <col min="7" max="7" width="14.85546875" style="4544" customWidth="1"/>
    <col min="8" max="8" width="47.85546875" style="4544" customWidth="1"/>
    <col min="9" max="9" width="115.7109375" style="4544" customWidth="1"/>
    <col min="10" max="10" width="3.7109375" style="4544" customWidth="1"/>
    <col min="11" max="12" width="9.140625" style="4544"/>
  </cols>
  <sheetData>
    <row r="1" spans="1:12" ht="14.25" hidden="1" customHeight="1"/>
    <row r="2" spans="1:12" ht="14.25" hidden="1" customHeight="1"/>
    <row r="3" spans="1:12" ht="14.25" hidden="1" customHeight="1"/>
    <row r="4" spans="1:12" ht="3" customHeight="1"/>
    <row r="5" spans="1:12" s="1838" customFormat="1" ht="30" customHeight="1">
      <c r="A5" s="45"/>
      <c r="C5" s="24"/>
      <c r="D5" s="4603" t="s">
        <v>1214</v>
      </c>
      <c r="E5" s="4603"/>
      <c r="F5" s="4603"/>
      <c r="G5" s="4603"/>
      <c r="H5" s="4603"/>
      <c r="I5" s="184"/>
    </row>
    <row r="6" spans="1:12" ht="3" hidden="1" customHeight="1">
      <c r="D6" s="49"/>
      <c r="E6" s="49"/>
      <c r="F6" s="49"/>
      <c r="G6" s="49"/>
      <c r="H6" s="49"/>
      <c r="I6" s="49"/>
    </row>
    <row r="7" spans="1:12" s="4539" customFormat="1" ht="14.25" customHeight="1">
      <c r="B7" s="46"/>
      <c r="C7" s="47"/>
      <c r="D7" s="50"/>
      <c r="E7" s="50"/>
      <c r="F7" s="50"/>
      <c r="G7" s="50"/>
      <c r="H7" s="670"/>
      <c r="I7" s="50"/>
      <c r="J7" s="51"/>
    </row>
    <row r="8" spans="1:12" ht="14.25" customHeight="1">
      <c r="D8" s="4719" t="s">
        <v>439</v>
      </c>
      <c r="E8" s="4719"/>
      <c r="F8" s="4719"/>
      <c r="G8" s="4719"/>
      <c r="H8" s="4719"/>
      <c r="I8" s="4719" t="s">
        <v>440</v>
      </c>
    </row>
    <row r="9" spans="1:12" ht="27.75" customHeight="1">
      <c r="D9" s="4719" t="s">
        <v>86</v>
      </c>
      <c r="E9" s="4719" t="s">
        <v>1215</v>
      </c>
      <c r="F9" s="4719"/>
      <c r="G9" s="4719"/>
      <c r="H9" s="4719"/>
      <c r="I9" s="4719"/>
    </row>
    <row r="10" spans="1:12" ht="22.5" customHeight="1">
      <c r="D10" s="4719"/>
      <c r="E10" s="54" t="s">
        <v>1216</v>
      </c>
      <c r="F10" s="54" t="s">
        <v>1217</v>
      </c>
      <c r="G10" s="54" t="s">
        <v>1218</v>
      </c>
      <c r="H10" s="54" t="s">
        <v>531</v>
      </c>
      <c r="I10" s="4719"/>
    </row>
    <row r="11" spans="1:12" ht="12" hidden="1" customHeight="1">
      <c r="D11" s="21" t="s">
        <v>174</v>
      </c>
      <c r="E11" s="21" t="s">
        <v>89</v>
      </c>
      <c r="F11" s="21" t="s">
        <v>128</v>
      </c>
      <c r="G11" s="21" t="s">
        <v>90</v>
      </c>
      <c r="H11" s="21" t="s">
        <v>91</v>
      </c>
      <c r="I11" s="21" t="s">
        <v>138</v>
      </c>
    </row>
    <row r="12" spans="1:12" s="4542" customFormat="1" ht="24.75" customHeight="1">
      <c r="A12" s="69" t="s">
        <v>88</v>
      </c>
      <c r="B12" s="52" t="s">
        <v>24</v>
      </c>
      <c r="C12" s="53"/>
      <c r="D12" s="55" t="s">
        <v>174</v>
      </c>
      <c r="E12" s="316"/>
      <c r="F12" s="316"/>
      <c r="G12" s="1645" t="s">
        <v>24</v>
      </c>
      <c r="H12" s="317"/>
      <c r="I12" s="4667" t="s">
        <v>1219</v>
      </c>
      <c r="K12" s="191"/>
      <c r="L12" s="192"/>
    </row>
    <row r="13" spans="1:12" ht="15" customHeight="1">
      <c r="A13" s="48"/>
      <c r="B13" s="48"/>
      <c r="C13" s="48"/>
      <c r="D13" s="40"/>
      <c r="E13" s="57" t="s">
        <v>605</v>
      </c>
      <c r="F13" s="56"/>
      <c r="G13" s="56"/>
      <c r="H13" s="135"/>
      <c r="I13" s="4669"/>
    </row>
    <row r="14" spans="1:12" ht="3" customHeight="1">
      <c r="A14" s="48"/>
      <c r="B14" s="48"/>
      <c r="C14" s="48"/>
    </row>
    <row r="15" spans="1:12" ht="27.75" customHeight="1">
      <c r="E15" s="4914" t="s">
        <v>1220</v>
      </c>
      <c r="F15" s="4914"/>
      <c r="G15" s="4914"/>
      <c r="H15" s="491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rgb="FFCCCCFF"/>
    <pageSetUpPr fitToPage="1"/>
  </sheetPr>
  <dimension ref="A1:I15"/>
  <sheetViews>
    <sheetView showGridLines="0" topLeftCell="C6" zoomScale="90" workbookViewId="0"/>
  </sheetViews>
  <sheetFormatPr defaultColWidth="9.140625" defaultRowHeight="14.25" customHeight="1"/>
  <cols>
    <col min="1" max="2" width="9.140625" style="4545" hidden="1"/>
    <col min="3" max="3" width="3.7109375" style="4546" customWidth="1"/>
    <col min="4" max="4" width="6.28515625" style="4545" customWidth="1"/>
    <col min="5" max="5" width="94.85546875" style="4545" customWidth="1"/>
    <col min="6" max="9" width="9.140625" style="4545"/>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4915" t="s">
        <v>1221</v>
      </c>
      <c r="E7" s="4916"/>
      <c r="F7" s="186"/>
    </row>
    <row r="8" spans="3:9" ht="3" customHeight="1">
      <c r="C8" s="25"/>
      <c r="D8" s="6"/>
      <c r="E8" s="6"/>
    </row>
    <row r="9" spans="3:9" ht="15.75" customHeight="1">
      <c r="C9" s="25"/>
      <c r="D9" s="36" t="s">
        <v>86</v>
      </c>
      <c r="E9" s="179" t="s">
        <v>1222</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1223</v>
      </c>
    </row>
    <row r="14" spans="3:9" ht="3" customHeight="1"/>
    <row r="15" spans="3:9" ht="22.5" customHeight="1">
      <c r="C15" s="63"/>
      <c r="D15" s="4914" t="s">
        <v>1224</v>
      </c>
      <c r="E15" s="4914"/>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dimension ref="A1:I24"/>
  <sheetViews>
    <sheetView showGridLines="0" topLeftCell="C4" zoomScale="90" workbookViewId="0"/>
  </sheetViews>
  <sheetFormatPr defaultColWidth="9.140625" defaultRowHeight="11.25" customHeight="1"/>
  <cols>
    <col min="1" max="2" width="15" style="1927" hidden="1" customWidth="1"/>
    <col min="3" max="3" width="3.7109375" style="1929" customWidth="1"/>
    <col min="4" max="4" width="6.85546875" style="1930" customWidth="1"/>
    <col min="5" max="5" width="52.28515625" style="1929" customWidth="1"/>
    <col min="6" max="6" width="48.85546875" style="1929" customWidth="1"/>
    <col min="7" max="7" width="93.42578125" style="1929" customWidth="1"/>
    <col min="8" max="8" width="9.140625" style="1929"/>
    <col min="9" max="9" width="65" style="1929" customWidth="1"/>
  </cols>
  <sheetData>
    <row r="1" spans="1:9" ht="11.25" hidden="1" customHeight="1">
      <c r="A1" s="428" t="s">
        <v>438</v>
      </c>
    </row>
    <row r="2" spans="1:9" ht="22.5" hidden="1" customHeight="1">
      <c r="A2" s="429"/>
      <c r="B2" s="429"/>
      <c r="C2" s="386"/>
      <c r="D2" s="1431"/>
      <c r="E2" s="1437"/>
      <c r="F2" s="1465"/>
      <c r="H2" s="403"/>
    </row>
    <row r="3" spans="1:9" ht="11.25" hidden="1" customHeight="1"/>
    <row r="4" spans="1:9" ht="11.25" customHeight="1">
      <c r="A4" s="1466"/>
      <c r="B4" s="1466"/>
    </row>
    <row r="5" spans="1:9" ht="24" customHeight="1">
      <c r="D5" s="4620"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4621"/>
      <c r="F5" s="4622"/>
      <c r="I5" s="635"/>
    </row>
    <row r="6" spans="1:9" ht="17.25" customHeight="1">
      <c r="D6" s="4690" t="str">
        <f>IF(region_name=0,"Не определено",region_name)</f>
        <v>Ульяновская область</v>
      </c>
      <c r="E6" s="4690"/>
      <c r="F6" s="4690"/>
      <c r="I6" s="635"/>
    </row>
    <row r="7" spans="1:9" s="1926" customFormat="1" ht="11.25" customHeight="1">
      <c r="A7" s="428"/>
      <c r="B7" s="428"/>
      <c r="D7" s="634"/>
      <c r="E7" s="634"/>
      <c r="F7" s="670"/>
      <c r="G7" s="634"/>
    </row>
    <row r="8" spans="1:9" ht="11.25" hidden="1" customHeight="1">
      <c r="A8" s="429"/>
      <c r="B8" s="429"/>
      <c r="C8" s="386"/>
      <c r="D8" s="391"/>
      <c r="E8" s="4717"/>
      <c r="F8" s="4717"/>
    </row>
    <row r="9" spans="1:9" ht="11.25" customHeight="1">
      <c r="A9" s="429"/>
      <c r="B9" s="429"/>
      <c r="C9" s="386"/>
      <c r="D9" s="4713" t="s">
        <v>439</v>
      </c>
      <c r="E9" s="4714"/>
      <c r="F9" s="4714"/>
      <c r="G9" s="4718" t="s">
        <v>440</v>
      </c>
    </row>
    <row r="10" spans="1:9" ht="11.25" customHeight="1">
      <c r="A10" s="429"/>
      <c r="B10" s="429"/>
      <c r="C10" s="386"/>
      <c r="D10" s="1385" t="s">
        <v>86</v>
      </c>
      <c r="E10" s="1387" t="s">
        <v>441</v>
      </c>
      <c r="F10" s="1387" t="s">
        <v>442</v>
      </c>
      <c r="G10" s="4719"/>
    </row>
    <row r="11" spans="1:9" ht="0.75" customHeight="1">
      <c r="A11" s="429"/>
      <c r="B11" s="429"/>
      <c r="C11" s="386"/>
      <c r="D11" s="392"/>
      <c r="E11" s="392"/>
      <c r="F11" s="392"/>
      <c r="G11" s="392"/>
    </row>
    <row r="12" spans="1:9" ht="22.5" customHeight="1">
      <c r="A12" s="429"/>
      <c r="B12" s="429"/>
      <c r="C12" s="386"/>
      <c r="D12" s="1431">
        <v>1</v>
      </c>
      <c r="E12" s="402" t="s">
        <v>1225</v>
      </c>
      <c r="F12" s="1771" t="str">
        <f>IF(org="","",org)</f>
        <v>ОГКП "Ульяновский областной водоканал"</v>
      </c>
      <c r="G12" s="402" t="s">
        <v>1226</v>
      </c>
      <c r="H12" s="1443"/>
    </row>
    <row r="13" spans="1:9" ht="18.75" customHeight="1">
      <c r="A13" s="429"/>
      <c r="B13" s="429"/>
      <c r="C13" s="386"/>
      <c r="D13" s="1431">
        <v>2</v>
      </c>
      <c r="E13" s="1438" t="s">
        <v>1227</v>
      </c>
      <c r="F13" s="1432" t="s">
        <v>445</v>
      </c>
      <c r="G13" s="402"/>
      <c r="H13" s="1443"/>
    </row>
    <row r="14" spans="1:9" ht="18.75" customHeight="1">
      <c r="A14" s="429"/>
      <c r="B14" s="429"/>
      <c r="C14" s="386"/>
      <c r="D14" s="1434" t="s">
        <v>757</v>
      </c>
      <c r="E14" s="1435" t="s">
        <v>1228</v>
      </c>
      <c r="F14" s="1437"/>
      <c r="G14" s="1436" t="s">
        <v>1229</v>
      </c>
      <c r="H14" s="1443"/>
    </row>
    <row r="15" spans="1:9" ht="18.75" customHeight="1">
      <c r="A15" s="429"/>
      <c r="B15" s="429"/>
      <c r="C15" s="386"/>
      <c r="D15" s="1434" t="s">
        <v>446</v>
      </c>
      <c r="E15" s="1435" t="s">
        <v>1230</v>
      </c>
      <c r="F15" s="1437"/>
      <c r="G15" s="1436" t="s">
        <v>1231</v>
      </c>
      <c r="H15" s="1443"/>
    </row>
    <row r="16" spans="1:9" ht="36.75" customHeight="1">
      <c r="A16" s="429"/>
      <c r="B16" s="429"/>
      <c r="C16" s="386"/>
      <c r="D16" s="1434" t="s">
        <v>449</v>
      </c>
      <c r="E16" s="1433" t="s">
        <v>1232</v>
      </c>
      <c r="F16" s="1441"/>
      <c r="G16" s="402" t="s">
        <v>1233</v>
      </c>
      <c r="H16" s="1443"/>
    </row>
    <row r="17" spans="1:9" ht="45" customHeight="1">
      <c r="A17" s="429"/>
      <c r="B17" s="429"/>
      <c r="C17" s="386"/>
      <c r="D17" s="1431">
        <v>3</v>
      </c>
      <c r="E17" s="1438" t="s">
        <v>1234</v>
      </c>
      <c r="F17" s="1437"/>
      <c r="G17" s="402" t="s">
        <v>1235</v>
      </c>
      <c r="H17" s="1443"/>
    </row>
    <row r="18" spans="1:9" ht="45" customHeight="1">
      <c r="A18" s="1386">
        <v>1</v>
      </c>
      <c r="B18" s="429"/>
      <c r="C18" s="1388"/>
      <c r="D18" s="1431" t="s">
        <v>89</v>
      </c>
      <c r="E18" s="1438" t="s">
        <v>1236</v>
      </c>
      <c r="F18" s="1437"/>
      <c r="G18" s="402" t="s">
        <v>1235</v>
      </c>
      <c r="H18" s="1443"/>
      <c r="I18" s="766"/>
    </row>
    <row r="19" spans="1:9" ht="22.5" customHeight="1">
      <c r="A19" s="429"/>
      <c r="B19" s="429"/>
      <c r="C19" s="386"/>
      <c r="D19" s="1431" t="s">
        <v>128</v>
      </c>
      <c r="E19" s="1438" t="s">
        <v>1237</v>
      </c>
      <c r="F19" s="1432" t="s">
        <v>445</v>
      </c>
      <c r="G19" s="4917" t="s">
        <v>1238</v>
      </c>
      <c r="H19" s="403"/>
    </row>
    <row r="20" spans="1:9" s="4547" customFormat="1" ht="5.25" hidden="1" customHeight="1">
      <c r="A20" s="429"/>
      <c r="B20" s="429"/>
      <c r="C20" s="1440"/>
      <c r="D20" s="1439" t="s">
        <v>1165</v>
      </c>
      <c r="E20" s="922"/>
      <c r="F20" s="921"/>
      <c r="G20" s="4918"/>
    </row>
    <row r="21" spans="1:9" ht="15" customHeight="1">
      <c r="A21" s="429"/>
      <c r="B21" s="429"/>
      <c r="C21" s="386"/>
      <c r="D21" s="395"/>
      <c r="E21" s="350" t="s">
        <v>480</v>
      </c>
      <c r="F21" s="397"/>
      <c r="G21" s="4919"/>
      <c r="H21" s="1443"/>
    </row>
    <row r="22" spans="1:9" s="1927" customFormat="1" ht="24.75" customHeight="1">
      <c r="A22" s="429"/>
      <c r="B22" s="429"/>
      <c r="C22" s="429"/>
      <c r="D22" s="1431" t="s">
        <v>90</v>
      </c>
      <c r="E22" s="402" t="s">
        <v>1239</v>
      </c>
      <c r="F22" s="1437"/>
      <c r="G22" s="402" t="s">
        <v>1240</v>
      </c>
      <c r="H22" s="1442"/>
    </row>
    <row r="23" spans="1:9" s="1927" customFormat="1" ht="18.75" customHeight="1">
      <c r="A23" s="429"/>
      <c r="B23" s="429"/>
      <c r="C23" s="429"/>
      <c r="D23" s="1431" t="s">
        <v>91</v>
      </c>
      <c r="E23" s="1438" t="s">
        <v>1241</v>
      </c>
      <c r="F23" s="1441"/>
      <c r="G23" s="402" t="s">
        <v>1242</v>
      </c>
      <c r="H23" s="1442"/>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dimension ref="A1:IT23"/>
  <sheetViews>
    <sheetView showGridLines="0" topLeftCell="D4" zoomScale="90" workbookViewId="0"/>
  </sheetViews>
  <sheetFormatPr defaultColWidth="9.140625" defaultRowHeight="14.25" customHeight="1"/>
  <cols>
    <col min="1" max="1" width="9.140625" style="1921" hidden="1"/>
    <col min="2" max="2" width="9.140625" style="1835" hidden="1"/>
    <col min="3" max="3" width="3.7109375" style="1921" hidden="1" customWidth="1"/>
    <col min="4" max="4" width="3.85546875" style="1937" customWidth="1"/>
    <col min="5" max="5" width="6.28515625" style="1921" customWidth="1"/>
    <col min="6" max="6" width="46.7109375" style="1921" customWidth="1"/>
    <col min="7" max="8" width="16.7109375" style="1921" customWidth="1"/>
    <col min="9" max="9" width="35.28515625" style="1921" customWidth="1"/>
    <col min="10" max="10" width="89.5703125" style="1921" customWidth="1"/>
    <col min="11" max="11" width="3.7109375" style="1831" customWidth="1"/>
    <col min="12" max="14" width="9.140625" style="1831"/>
    <col min="15" max="15" width="25.7109375" style="1828" customWidth="1"/>
    <col min="16" max="16" width="14.42578125" style="1831" customWidth="1"/>
    <col min="17" max="20" width="9.140625" style="1829"/>
    <col min="21" max="254" width="9.140625" style="1921"/>
  </cols>
  <sheetData>
    <row r="1" spans="1:254" ht="14.25" hidden="1" customHeight="1"/>
    <row r="2" spans="1:254" s="1832" customFormat="1" ht="22.5" hidden="1" customHeight="1">
      <c r="A2" s="749"/>
      <c r="B2" s="1061">
        <v>1</v>
      </c>
      <c r="C2" s="1061"/>
      <c r="D2" s="719"/>
      <c r="E2" s="1395"/>
      <c r="F2" s="1402"/>
      <c r="G2" s="1402"/>
      <c r="H2" s="1402"/>
      <c r="I2" s="1448"/>
      <c r="J2" s="149"/>
      <c r="K2" s="1445" t="e">
        <f ca="1">MERGEVALUE(F2)</f>
        <v>#NAME?</v>
      </c>
      <c r="L2" s="438"/>
      <c r="M2" s="438"/>
      <c r="N2" s="427" t="str">
        <f t="array" ref="N2">IF(ISERROR(MATCH(MID(O2,1,250),MID(note_ter,1,250),0)),"n","y")</f>
        <v>n</v>
      </c>
      <c r="O2" s="438"/>
      <c r="P2" s="427" t="str">
        <f>G2&amp;"("&amp;J2&amp;")"</f>
        <v>()</v>
      </c>
      <c r="Q2" s="1061"/>
      <c r="R2" s="1061"/>
      <c r="S2" s="354"/>
      <c r="T2" s="1061"/>
      <c r="U2" s="1061"/>
      <c r="V2" s="1061"/>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21" customFormat="1" ht="5.25" hidden="1" customHeight="1">
      <c r="A3" s="423"/>
      <c r="D3" s="421"/>
      <c r="F3" s="166" t="s">
        <v>81</v>
      </c>
      <c r="G3" s="421" t="s">
        <v>82</v>
      </c>
      <c r="H3" s="421"/>
      <c r="I3" s="421"/>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30" customFormat="1" ht="14.25" customHeight="1">
      <c r="A4" s="1056"/>
      <c r="B4" s="1061"/>
      <c r="C4" s="1056"/>
      <c r="D4" s="1406"/>
      <c r="E4" s="436"/>
      <c r="F4" s="436"/>
      <c r="G4" s="436"/>
      <c r="H4" s="436"/>
      <c r="I4" s="436"/>
      <c r="J4" s="87"/>
      <c r="K4" s="166"/>
      <c r="L4" s="427"/>
      <c r="M4" s="427"/>
      <c r="N4" s="427"/>
      <c r="O4" s="147"/>
      <c r="P4" s="427"/>
      <c r="Q4" s="146"/>
      <c r="R4" s="146"/>
      <c r="S4" s="146"/>
      <c r="T4" s="146"/>
    </row>
    <row r="5" spans="1:254" s="1830" customFormat="1" ht="25.5" customHeight="1">
      <c r="A5" s="1056"/>
      <c r="B5" s="1061"/>
      <c r="C5" s="1056"/>
      <c r="D5" s="1406"/>
      <c r="E5" s="4603"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4603"/>
      <c r="G5" s="4603"/>
      <c r="H5" s="4603"/>
      <c r="I5" s="4603"/>
      <c r="J5" s="4603"/>
      <c r="K5" s="166"/>
      <c r="L5" s="427"/>
      <c r="M5" s="427"/>
      <c r="N5" s="427"/>
      <c r="O5" s="147"/>
      <c r="P5" s="427"/>
      <c r="Q5" s="146"/>
      <c r="R5" s="146"/>
      <c r="S5" s="146"/>
      <c r="T5" s="146"/>
    </row>
    <row r="6" spans="1:254" s="1830" customFormat="1" ht="14.25" customHeight="1">
      <c r="A6" s="1056"/>
      <c r="B6" s="1061"/>
      <c r="C6" s="1056"/>
      <c r="D6" s="1406"/>
      <c r="E6" s="436"/>
      <c r="F6" s="88"/>
      <c r="G6" s="88"/>
      <c r="H6" s="88"/>
      <c r="I6" s="88"/>
      <c r="J6" s="89"/>
      <c r="K6" s="427"/>
      <c r="L6" s="427"/>
      <c r="M6" s="427"/>
      <c r="N6" s="427"/>
      <c r="O6" s="147"/>
      <c r="P6" s="427"/>
      <c r="Q6" s="146"/>
      <c r="R6" s="146"/>
      <c r="S6" s="146"/>
      <c r="T6" s="146"/>
    </row>
    <row r="7" spans="1:254" s="1830" customFormat="1" ht="14.25" customHeight="1">
      <c r="A7" s="1056"/>
      <c r="B7" s="1061"/>
      <c r="C7" s="1056"/>
      <c r="D7" s="1406"/>
      <c r="E7" s="4598" t="s">
        <v>439</v>
      </c>
      <c r="F7" s="4604"/>
      <c r="G7" s="4604"/>
      <c r="H7" s="4604"/>
      <c r="I7" s="4604"/>
      <c r="J7" s="4920" t="s">
        <v>440</v>
      </c>
      <c r="K7" s="427"/>
      <c r="L7" s="427"/>
      <c r="M7" s="427"/>
      <c r="N7" s="427"/>
      <c r="O7" s="147"/>
      <c r="P7" s="427"/>
      <c r="Q7" s="146"/>
      <c r="R7" s="146"/>
      <c r="S7" s="146"/>
      <c r="T7" s="146"/>
    </row>
    <row r="8" spans="1:254" s="1830" customFormat="1" ht="20.25" customHeight="1">
      <c r="A8" s="1056"/>
      <c r="B8" s="1061"/>
      <c r="C8" s="1056"/>
      <c r="D8" s="1406"/>
      <c r="E8" s="1464" t="s">
        <v>86</v>
      </c>
      <c r="F8" s="1450" t="s">
        <v>1243</v>
      </c>
      <c r="G8" s="1450" t="s">
        <v>47</v>
      </c>
      <c r="H8" s="1450" t="s">
        <v>49</v>
      </c>
      <c r="I8" s="1450" t="s">
        <v>1244</v>
      </c>
      <c r="J8" s="4921"/>
      <c r="K8" s="427"/>
      <c r="L8" s="427"/>
      <c r="M8" s="427"/>
      <c r="N8" s="427"/>
      <c r="O8" s="147"/>
      <c r="P8" s="427"/>
      <c r="Q8" s="146"/>
      <c r="R8" s="146"/>
      <c r="S8" s="146"/>
      <c r="T8" s="146"/>
    </row>
    <row r="9" spans="1:254" s="1832" customFormat="1" ht="22.5" customHeight="1">
      <c r="A9" s="4601"/>
      <c r="B9" s="1061">
        <v>1</v>
      </c>
      <c r="C9" s="1061"/>
      <c r="D9" s="719"/>
      <c r="E9" s="1395">
        <v>1</v>
      </c>
      <c r="F9" s="1463"/>
      <c r="G9" s="1402"/>
      <c r="H9" s="1402"/>
      <c r="I9" s="1448"/>
      <c r="J9" s="4922" t="s">
        <v>1245</v>
      </c>
      <c r="K9" s="1445"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1"/>
      <c r="R9" s="1061"/>
      <c r="S9" s="354"/>
      <c r="T9" s="1061"/>
      <c r="U9" s="1061"/>
      <c r="V9" s="1061"/>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32" customFormat="1" ht="15" customHeight="1">
      <c r="A10" s="4601"/>
      <c r="B10" s="1061"/>
      <c r="C10" s="347"/>
      <c r="D10" s="719"/>
      <c r="E10" s="1451"/>
      <c r="F10" s="1411" t="s">
        <v>1246</v>
      </c>
      <c r="G10" s="1452"/>
      <c r="H10" s="1452"/>
      <c r="I10" s="1452"/>
      <c r="J10" s="4923"/>
      <c r="K10" s="1446"/>
      <c r="L10" s="438"/>
      <c r="M10" s="438"/>
      <c r="N10" s="438"/>
      <c r="O10" s="427"/>
      <c r="P10" s="438"/>
      <c r="Q10" s="1061"/>
      <c r="R10" s="1061"/>
      <c r="S10" s="354"/>
      <c r="T10" s="1061"/>
      <c r="U10" s="1061"/>
      <c r="V10" s="1061"/>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30" customFormat="1" ht="21" customHeight="1">
      <c r="A11" s="1056"/>
      <c r="B11" s="1061"/>
      <c r="C11" s="1056"/>
      <c r="D11" s="383"/>
      <c r="E11" s="101"/>
      <c r="F11" s="101"/>
      <c r="G11" s="101"/>
      <c r="H11" s="101"/>
      <c r="I11" s="101"/>
      <c r="J11" s="101"/>
      <c r="K11" s="427"/>
      <c r="L11" s="427"/>
      <c r="M11" s="427"/>
      <c r="N11" s="427"/>
      <c r="O11" s="147"/>
      <c r="P11" s="427"/>
      <c r="Q11" s="146"/>
      <c r="R11" s="146"/>
      <c r="S11" s="146"/>
      <c r="T11" s="146"/>
    </row>
    <row r="12" spans="1:254" s="1830" customFormat="1" ht="14.25" customHeight="1">
      <c r="A12" s="1056"/>
      <c r="B12" s="1061"/>
      <c r="C12" s="1056"/>
      <c r="D12" s="383"/>
      <c r="E12" s="1056"/>
      <c r="F12" s="1056"/>
      <c r="G12" s="1056"/>
      <c r="H12" s="1056"/>
      <c r="I12" s="1056"/>
      <c r="J12" s="1056"/>
      <c r="K12" s="427"/>
      <c r="L12" s="427"/>
      <c r="M12" s="427"/>
      <c r="N12" s="427"/>
      <c r="O12" s="147"/>
      <c r="P12" s="427"/>
      <c r="Q12" s="146"/>
      <c r="R12" s="146"/>
      <c r="S12" s="146"/>
      <c r="T12" s="146"/>
    </row>
    <row r="13" spans="1:254" s="1830" customFormat="1" ht="0.75" customHeight="1">
      <c r="A13" s="1056"/>
      <c r="B13" s="1061"/>
      <c r="C13" s="1056"/>
      <c r="D13" s="383"/>
      <c r="E13" s="1056"/>
      <c r="F13" s="1056"/>
      <c r="G13" s="1056"/>
      <c r="H13" s="1056"/>
      <c r="I13" s="1056"/>
      <c r="J13" s="1056"/>
      <c r="K13" s="427"/>
      <c r="L13" s="427"/>
      <c r="M13" s="427"/>
      <c r="N13" s="427"/>
      <c r="O13" s="147"/>
      <c r="P13" s="427"/>
      <c r="Q13" s="146"/>
      <c r="R13" s="146"/>
      <c r="S13" s="146"/>
      <c r="T13" s="146"/>
    </row>
    <row r="14" spans="1:254" s="1839" customFormat="1" ht="10.5" customHeight="1">
      <c r="B14" s="752"/>
      <c r="D14" s="103"/>
      <c r="K14" s="427"/>
      <c r="L14" s="427"/>
      <c r="M14" s="427"/>
      <c r="N14" s="427"/>
      <c r="O14" s="147"/>
      <c r="P14" s="427"/>
      <c r="Q14" s="146"/>
      <c r="R14" s="146"/>
      <c r="S14" s="146"/>
      <c r="T14" s="146"/>
    </row>
    <row r="15" spans="1:254" s="1839" customFormat="1" ht="10.5" customHeight="1">
      <c r="B15" s="752"/>
      <c r="D15" s="103"/>
      <c r="K15" s="427"/>
      <c r="L15" s="427"/>
      <c r="M15" s="427"/>
      <c r="N15" s="427"/>
      <c r="O15" s="147"/>
      <c r="P15" s="427"/>
      <c r="Q15" s="146"/>
      <c r="R15" s="146"/>
      <c r="S15" s="146"/>
      <c r="T15" s="146"/>
    </row>
    <row r="19" spans="7:13" ht="14.25" customHeight="1">
      <c r="G19" s="302"/>
      <c r="H19" s="302"/>
      <c r="I19" s="302"/>
    </row>
    <row r="23" spans="7:13" ht="14.25" customHeight="1">
      <c r="K23" s="1056"/>
      <c r="L23" s="1056"/>
      <c r="M23" s="105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sheetPr>
    <tabColor rgb="FFCCCCFF"/>
  </sheetPr>
  <dimension ref="A1:AR198"/>
  <sheetViews>
    <sheetView showGridLines="0" topLeftCell="H160" zoomScale="90" workbookViewId="0">
      <selection activeCell="N174" sqref="N174:N176"/>
    </sheetView>
  </sheetViews>
  <sheetFormatPr defaultColWidth="9.140625" defaultRowHeight="11.25" customHeight="1"/>
  <cols>
    <col min="1" max="2" width="3.7109375" style="1914" hidden="1" customWidth="1"/>
    <col min="3" max="3" width="3.7109375" style="1915" customWidth="1"/>
    <col min="4" max="4" width="6.140625" style="1915" customWidth="1"/>
    <col min="5" max="5" width="43.140625" style="1915" customWidth="1"/>
    <col min="6" max="6" width="15" style="1856" customWidth="1"/>
    <col min="7" max="7" width="43.140625" style="1915" customWidth="1"/>
    <col min="8" max="8" width="3.7109375" style="1915" customWidth="1"/>
    <col min="9" max="9" width="5.42578125" style="1915" customWidth="1"/>
    <col min="10" max="10" width="47.85546875" style="1915" customWidth="1"/>
    <col min="11" max="12" width="3.7109375" style="1915" customWidth="1"/>
    <col min="13" max="13" width="5.7109375" style="1915" customWidth="1"/>
    <col min="14" max="14" width="28.140625" style="1915" customWidth="1"/>
    <col min="15" max="16" width="3.7109375" style="1915" customWidth="1"/>
    <col min="17" max="17" width="5.7109375" style="1915" customWidth="1"/>
    <col min="18" max="18" width="34.42578125" style="1915" customWidth="1"/>
    <col min="19" max="20" width="3.7109375" style="1916" hidden="1" customWidth="1"/>
    <col min="21" max="21" width="5.7109375" style="1916" hidden="1" customWidth="1"/>
    <col min="22" max="22" width="34.42578125" style="1916" hidden="1" customWidth="1"/>
    <col min="23" max="23" width="30.7109375" style="1915" customWidth="1"/>
    <col min="24" max="24" width="3.7109375" style="1915" customWidth="1"/>
    <col min="25" max="28" width="9.85546875" style="1851" hidden="1" customWidth="1"/>
    <col min="29" max="29" width="27" style="1851" hidden="1" customWidth="1"/>
    <col min="30" max="30" width="10.5703125" style="1851" hidden="1" customWidth="1"/>
    <col min="31" max="31" width="10.7109375" style="1851" hidden="1" customWidth="1"/>
    <col min="32" max="32" width="10" style="1851" hidden="1" customWidth="1"/>
    <col min="33" max="33" width="12.85546875" style="1851" hidden="1" customWidth="1"/>
    <col min="34" max="34" width="10.28515625" style="1851" hidden="1" customWidth="1"/>
    <col min="35" max="35" width="15.85546875" style="1851" hidden="1" customWidth="1"/>
    <col min="36" max="36" width="19.42578125" style="1851" hidden="1" customWidth="1"/>
    <col min="37" max="37" width="11" style="1851" hidden="1" customWidth="1"/>
    <col min="38" max="38" width="23.5703125" style="1851" hidden="1" customWidth="1"/>
    <col min="39" max="39" width="23.85546875" style="1851" hidden="1" customWidth="1"/>
    <col min="40" max="40" width="25.28515625" style="1851" hidden="1" customWidth="1"/>
    <col min="41" max="41" width="16.85546875" style="1851" hidden="1" customWidth="1"/>
    <col min="42" max="42" width="29.5703125" style="1851" hidden="1" customWidth="1"/>
    <col min="43" max="43" width="29.85546875" style="1851" hidden="1" customWidth="1"/>
    <col min="44" max="44" width="9.140625" style="1915" hidden="1"/>
  </cols>
  <sheetData>
    <row r="1" spans="1:43" ht="11.25" hidden="1" customHeight="1">
      <c r="A1" s="78"/>
    </row>
    <row r="2" spans="1:43" ht="11.25" hidden="1" customHeight="1"/>
    <row r="3" spans="1:43" ht="11.25" hidden="1" customHeight="1"/>
    <row r="4" spans="1:43" ht="3" customHeight="1"/>
    <row r="5" spans="1:43" s="1849" customFormat="1" ht="29.25" customHeight="1">
      <c r="A5" s="76"/>
      <c r="B5" s="76"/>
      <c r="D5" s="46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4658"/>
      <c r="F5" s="4658"/>
      <c r="G5" s="4658"/>
      <c r="H5" s="4658"/>
      <c r="I5" s="4658"/>
      <c r="J5" s="4659"/>
      <c r="K5" s="184"/>
      <c r="L5" s="67"/>
      <c r="M5" s="67"/>
      <c r="N5" s="67"/>
      <c r="O5" s="67"/>
      <c r="P5" s="67"/>
      <c r="Q5" s="67"/>
      <c r="R5" s="67"/>
      <c r="S5" s="209"/>
      <c r="T5" s="209"/>
      <c r="U5" s="209"/>
      <c r="V5" s="209"/>
      <c r="W5" s="67"/>
      <c r="Y5" s="1181"/>
      <c r="Z5" s="1181"/>
      <c r="AA5" s="1181"/>
      <c r="AB5" s="1181"/>
      <c r="AC5" s="1181"/>
      <c r="AD5" s="1181"/>
      <c r="AE5" s="1181"/>
      <c r="AF5" s="1181"/>
      <c r="AG5" s="1181"/>
      <c r="AH5" s="1181"/>
      <c r="AI5" s="1181"/>
      <c r="AJ5" s="1181"/>
      <c r="AK5" s="1181"/>
      <c r="AL5" s="1181"/>
      <c r="AM5" s="1181"/>
      <c r="AN5" s="1181"/>
      <c r="AO5" s="1181"/>
      <c r="AP5" s="1181"/>
      <c r="AQ5" s="1181"/>
    </row>
    <row r="6" spans="1:43" s="1841" customFormat="1" ht="15" customHeight="1">
      <c r="A6" s="510"/>
      <c r="B6" s="510"/>
      <c r="C6" s="510"/>
      <c r="D6" s="4663" t="str">
        <f>IF(org=0,"Не определено",org)</f>
        <v>ОГКП "Ульяновский областной водоканал"</v>
      </c>
      <c r="E6" s="4663"/>
      <c r="F6" s="4663"/>
      <c r="G6" s="4663"/>
      <c r="H6" s="4663"/>
      <c r="I6" s="4663"/>
      <c r="J6" s="4663"/>
      <c r="K6" s="511"/>
      <c r="L6" s="511"/>
      <c r="M6" s="511"/>
      <c r="N6" s="511"/>
      <c r="O6" s="784"/>
      <c r="P6" s="784"/>
      <c r="Q6" s="784"/>
      <c r="R6" s="784"/>
      <c r="S6" s="784"/>
      <c r="T6" s="784"/>
      <c r="U6" s="784"/>
      <c r="V6" s="784"/>
      <c r="W6" s="784"/>
      <c r="X6" s="511"/>
      <c r="Y6" s="1182"/>
      <c r="Z6" s="1182"/>
      <c r="AA6" s="1182"/>
      <c r="AB6" s="1182"/>
      <c r="AC6" s="1182"/>
      <c r="AD6" s="1182"/>
      <c r="AE6" s="1182"/>
      <c r="AF6" s="1182"/>
      <c r="AG6" s="1182"/>
      <c r="AH6" s="1182"/>
      <c r="AI6" s="1182"/>
      <c r="AJ6" s="1182"/>
      <c r="AK6" s="1182"/>
      <c r="AL6" s="1182"/>
      <c r="AM6" s="1182"/>
      <c r="AN6" s="1182"/>
      <c r="AO6" s="1182"/>
      <c r="AP6" s="1182"/>
      <c r="AQ6" s="1182"/>
    </row>
    <row r="7" spans="1:43" s="1850" customFormat="1" ht="11.25" customHeight="1">
      <c r="A7" s="132"/>
      <c r="B7" s="132"/>
      <c r="D7" s="4660"/>
      <c r="E7" s="4661"/>
      <c r="F7" s="4661"/>
      <c r="G7" s="4661"/>
      <c r="H7" s="4661"/>
      <c r="I7" s="4661"/>
      <c r="J7" s="4662"/>
      <c r="S7" s="218"/>
      <c r="T7" s="218"/>
      <c r="U7" s="218"/>
      <c r="V7" s="218"/>
      <c r="Y7" s="1183"/>
      <c r="Z7" s="1183"/>
      <c r="AA7" s="1183"/>
      <c r="AB7" s="1183"/>
      <c r="AC7" s="1183"/>
      <c r="AD7" s="1183"/>
      <c r="AE7" s="1183"/>
      <c r="AF7" s="1183"/>
      <c r="AG7" s="1183"/>
      <c r="AH7" s="1183"/>
      <c r="AI7" s="1183"/>
      <c r="AJ7" s="1183"/>
      <c r="AK7" s="1183"/>
      <c r="AL7" s="1183"/>
      <c r="AM7" s="1183"/>
      <c r="AN7" s="1183"/>
      <c r="AO7" s="1183"/>
      <c r="AP7" s="1183"/>
      <c r="AQ7" s="1183"/>
    </row>
    <row r="8" spans="1:43" s="1849"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1"/>
      <c r="Z8" s="1181"/>
      <c r="AA8" s="1181"/>
      <c r="AB8" s="1181"/>
      <c r="AC8" s="1181"/>
      <c r="AD8" s="1181"/>
      <c r="AE8" s="1181"/>
      <c r="AF8" s="1181"/>
      <c r="AG8" s="1181"/>
      <c r="AH8" s="1181"/>
      <c r="AI8" s="1181"/>
      <c r="AJ8" s="1181"/>
      <c r="AK8" s="1181"/>
      <c r="AL8" s="1181"/>
      <c r="AM8" s="1181"/>
      <c r="AN8" s="1181"/>
      <c r="AO8" s="1181"/>
      <c r="AP8" s="1181"/>
      <c r="AQ8" s="1181"/>
    </row>
    <row r="9" spans="1:43" ht="27" customHeight="1">
      <c r="D9" s="4627" t="s">
        <v>86</v>
      </c>
      <c r="E9" s="4598" t="s">
        <v>184</v>
      </c>
      <c r="F9" s="4597"/>
      <c r="G9" s="4627" t="s">
        <v>170</v>
      </c>
      <c r="H9" s="4627" t="s">
        <v>86</v>
      </c>
      <c r="I9" s="4627"/>
      <c r="J9" s="4627" t="s">
        <v>185</v>
      </c>
      <c r="K9" s="4655" t="s">
        <v>186</v>
      </c>
      <c r="L9" s="4655"/>
      <c r="M9" s="4655"/>
      <c r="N9" s="4655"/>
      <c r="O9" s="4655" t="s">
        <v>187</v>
      </c>
      <c r="P9" s="4655"/>
      <c r="Q9" s="4655"/>
      <c r="R9" s="4655"/>
      <c r="S9" s="4655" t="s">
        <v>188</v>
      </c>
      <c r="T9" s="4655"/>
      <c r="U9" s="4655"/>
      <c r="V9" s="4655"/>
      <c r="W9" s="4627" t="s">
        <v>189</v>
      </c>
    </row>
    <row r="10" spans="1:43" ht="30" customHeight="1">
      <c r="D10" s="4627"/>
      <c r="E10" s="1204" t="s">
        <v>87</v>
      </c>
      <c r="F10" s="1204" t="s">
        <v>190</v>
      </c>
      <c r="G10" s="4627"/>
      <c r="H10" s="4627"/>
      <c r="I10" s="4627"/>
      <c r="J10" s="4627"/>
      <c r="K10" s="41" t="s">
        <v>173</v>
      </c>
      <c r="L10" s="4627" t="s">
        <v>86</v>
      </c>
      <c r="M10" s="4627"/>
      <c r="N10" s="41" t="s">
        <v>191</v>
      </c>
      <c r="O10" s="41" t="s">
        <v>173</v>
      </c>
      <c r="P10" s="4627" t="s">
        <v>86</v>
      </c>
      <c r="Q10" s="4627"/>
      <c r="R10" s="41" t="s">
        <v>191</v>
      </c>
      <c r="S10" s="202" t="s">
        <v>173</v>
      </c>
      <c r="T10" s="4627" t="s">
        <v>86</v>
      </c>
      <c r="U10" s="4627"/>
      <c r="V10" s="202" t="s">
        <v>87</v>
      </c>
      <c r="W10" s="4627"/>
      <c r="Z10" s="1180" t="s">
        <v>192</v>
      </c>
      <c r="AA10" s="1180" t="s">
        <v>193</v>
      </c>
      <c r="AB10" s="1180" t="s">
        <v>194</v>
      </c>
      <c r="AC10" s="1180" t="s">
        <v>195</v>
      </c>
      <c r="AD10" s="1180" t="s">
        <v>196</v>
      </c>
      <c r="AE10" s="1180" t="s">
        <v>197</v>
      </c>
      <c r="AF10" s="1180" t="s">
        <v>198</v>
      </c>
      <c r="AG10" s="1180" t="s">
        <v>199</v>
      </c>
      <c r="AH10" s="1180" t="s">
        <v>200</v>
      </c>
      <c r="AI10" s="1180" t="s">
        <v>201</v>
      </c>
      <c r="AJ10" s="1180" t="s">
        <v>202</v>
      </c>
      <c r="AK10" s="1180" t="s">
        <v>203</v>
      </c>
      <c r="AL10" s="1180" t="s">
        <v>204</v>
      </c>
      <c r="AM10" s="1180" t="s">
        <v>205</v>
      </c>
      <c r="AN10" s="1180" t="s">
        <v>206</v>
      </c>
      <c r="AO10" s="1180" t="s">
        <v>207</v>
      </c>
      <c r="AP10" s="1180" t="s">
        <v>208</v>
      </c>
      <c r="AQ10" s="1180" t="s">
        <v>209</v>
      </c>
    </row>
    <row r="11" spans="1:43" s="1852" customFormat="1" ht="12" hidden="1" customHeight="1">
      <c r="D11" s="1160" t="s">
        <v>174</v>
      </c>
      <c r="E11" s="1160" t="s">
        <v>101</v>
      </c>
      <c r="F11" s="1160"/>
      <c r="G11" s="1160" t="s">
        <v>88</v>
      </c>
      <c r="H11" s="4656" t="s">
        <v>128</v>
      </c>
      <c r="I11" s="4656"/>
      <c r="J11" s="1160" t="s">
        <v>90</v>
      </c>
      <c r="K11" s="1160" t="s">
        <v>91</v>
      </c>
      <c r="L11" s="4656" t="s">
        <v>138</v>
      </c>
      <c r="M11" s="4656"/>
      <c r="N11" s="1160" t="s">
        <v>151</v>
      </c>
      <c r="O11" s="1160" t="s">
        <v>157</v>
      </c>
      <c r="P11" s="4656" t="s">
        <v>162</v>
      </c>
      <c r="Q11" s="4656"/>
      <c r="R11" s="1160" t="s">
        <v>210</v>
      </c>
      <c r="S11" s="1160" t="s">
        <v>162</v>
      </c>
      <c r="T11" s="4656" t="s">
        <v>210</v>
      </c>
      <c r="U11" s="4656"/>
      <c r="V11" s="1160" t="s">
        <v>211</v>
      </c>
      <c r="W11" s="1160" t="s">
        <v>212</v>
      </c>
      <c r="Y11" s="1180"/>
      <c r="Z11" s="1180"/>
      <c r="AA11" s="1180"/>
      <c r="AB11" s="1180"/>
      <c r="AC11" s="1180"/>
      <c r="AD11" s="1180"/>
      <c r="AE11" s="1180"/>
      <c r="AF11" s="1180"/>
      <c r="AG11" s="1180"/>
      <c r="AH11" s="1180"/>
      <c r="AI11" s="1180"/>
      <c r="AJ11" s="1180"/>
      <c r="AK11" s="1180"/>
      <c r="AL11" s="1180"/>
      <c r="AM11" s="1180"/>
      <c r="AN11" s="1180"/>
      <c r="AO11" s="1180"/>
      <c r="AP11" s="1180"/>
      <c r="AQ11" s="1180"/>
    </row>
    <row r="12" spans="1:43" ht="14.25" hidden="1" customHeight="1">
      <c r="C12" s="130"/>
      <c r="D12" s="1203">
        <v>0</v>
      </c>
      <c r="E12" s="169"/>
      <c r="F12" s="169"/>
      <c r="G12" s="169"/>
      <c r="H12" s="170"/>
      <c r="I12" s="170"/>
      <c r="J12" s="80"/>
      <c r="K12" s="42"/>
      <c r="L12" s="80"/>
      <c r="M12" s="80"/>
      <c r="N12" s="171"/>
      <c r="O12" s="42"/>
      <c r="P12" s="80"/>
      <c r="Q12" s="80"/>
      <c r="R12" s="172"/>
      <c r="S12" s="203"/>
      <c r="T12" s="211"/>
      <c r="U12" s="211"/>
      <c r="V12" s="215"/>
      <c r="W12" s="42"/>
      <c r="X12" s="66"/>
    </row>
    <row r="13" spans="1:43" s="1853" customFormat="1" ht="17.25" hidden="1" customHeight="1">
      <c r="A13" s="245"/>
      <c r="C13" s="130"/>
      <c r="D13" s="4641">
        <v>1</v>
      </c>
      <c r="E13" s="4643" t="s">
        <v>213</v>
      </c>
      <c r="F13" s="4645" t="s">
        <v>55</v>
      </c>
      <c r="G13" s="4643"/>
      <c r="H13" s="4648"/>
      <c r="I13" s="4650"/>
      <c r="J13" s="4652"/>
      <c r="K13" s="4635"/>
      <c r="L13" s="4635"/>
      <c r="M13" s="4635"/>
      <c r="N13" s="4637"/>
      <c r="O13" s="4635"/>
      <c r="P13" s="4635"/>
      <c r="Q13" s="4635"/>
      <c r="R13" s="4640"/>
      <c r="S13" s="4635"/>
      <c r="T13" s="1336"/>
      <c r="U13" s="1336"/>
      <c r="V13" s="1335"/>
      <c r="W13" s="1216"/>
      <c r="Y13" s="1187"/>
      <c r="Z13" s="1187"/>
      <c r="AA13" s="1187"/>
      <c r="AB13" s="1187"/>
      <c r="AC13" s="1187" t="s">
        <v>214</v>
      </c>
      <c r="AD13" s="1187" t="s">
        <v>215</v>
      </c>
      <c r="AE13" s="1187" t="s">
        <v>216</v>
      </c>
      <c r="AF13" s="1187" t="s">
        <v>217</v>
      </c>
      <c r="AG13" s="1187" t="s">
        <v>218</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row>
    <row r="14" spans="1:43" s="1853" customFormat="1" ht="17.25" hidden="1" customHeight="1">
      <c r="A14" s="245"/>
      <c r="C14" s="244"/>
      <c r="D14" s="4641"/>
      <c r="E14" s="4643"/>
      <c r="F14" s="4646"/>
      <c r="G14" s="4643"/>
      <c r="H14" s="4649"/>
      <c r="I14" s="4651"/>
      <c r="J14" s="4653"/>
      <c r="K14" s="4636"/>
      <c r="L14" s="4636"/>
      <c r="M14" s="4636"/>
      <c r="N14" s="4638"/>
      <c r="O14" s="4636"/>
      <c r="P14" s="4636"/>
      <c r="Q14" s="4636"/>
      <c r="R14" s="4639"/>
      <c r="S14" s="4636"/>
      <c r="T14" s="1217"/>
      <c r="U14" s="1217"/>
      <c r="V14" s="1217"/>
      <c r="W14" s="1218"/>
      <c r="Y14" s="1180"/>
      <c r="Z14" s="1180"/>
      <c r="AA14" s="1180"/>
      <c r="AB14" s="1180"/>
      <c r="AC14" s="1180"/>
      <c r="AD14" s="1180"/>
      <c r="AE14" s="1180"/>
      <c r="AF14" s="1180"/>
      <c r="AG14" s="1180"/>
      <c r="AH14" s="1180"/>
      <c r="AI14" s="1180"/>
      <c r="AJ14" s="1180"/>
      <c r="AK14" s="1180"/>
      <c r="AL14" s="1180"/>
      <c r="AM14" s="1180"/>
      <c r="AN14" s="1180"/>
      <c r="AO14" s="1180"/>
      <c r="AP14" s="1180"/>
      <c r="AQ14" s="1180"/>
    </row>
    <row r="15" spans="1:43" s="1854" customFormat="1" ht="17.25" hidden="1" customHeight="1">
      <c r="A15" s="245"/>
      <c r="C15" s="130"/>
      <c r="D15" s="4641"/>
      <c r="E15" s="4643"/>
      <c r="F15" s="4646"/>
      <c r="G15" s="4643"/>
      <c r="H15" s="4649"/>
      <c r="I15" s="4651"/>
      <c r="J15" s="4654"/>
      <c r="K15" s="4636"/>
      <c r="L15" s="4636"/>
      <c r="M15" s="4636"/>
      <c r="N15" s="4639"/>
      <c r="O15" s="4636"/>
      <c r="P15" s="1334"/>
      <c r="Q15" s="1217"/>
      <c r="R15" s="1217"/>
      <c r="S15" s="256"/>
      <c r="T15" s="256"/>
      <c r="U15" s="256"/>
      <c r="V15" s="256"/>
      <c r="W15" s="1218"/>
      <c r="Y15" s="1187"/>
      <c r="Z15" s="1187"/>
      <c r="AA15" s="1187"/>
      <c r="AB15" s="1187"/>
      <c r="AC15" s="1187"/>
      <c r="AD15" s="1187"/>
      <c r="AE15" s="1187"/>
      <c r="AF15" s="1187"/>
      <c r="AG15" s="1187"/>
      <c r="AH15" s="1187"/>
      <c r="AI15" s="1187"/>
      <c r="AJ15" s="1187"/>
      <c r="AK15" s="1187"/>
      <c r="AL15" s="1187"/>
      <c r="AM15" s="1187"/>
      <c r="AN15" s="1187"/>
      <c r="AO15" s="1187"/>
      <c r="AP15" s="1187"/>
      <c r="AQ15" s="1187"/>
    </row>
    <row r="16" spans="1:43" s="1854" customFormat="1" ht="17.25" hidden="1" customHeight="1">
      <c r="A16" s="245"/>
      <c r="C16" s="244"/>
      <c r="D16" s="4641"/>
      <c r="E16" s="4643"/>
      <c r="F16" s="4646"/>
      <c r="G16" s="4643"/>
      <c r="H16" s="4649"/>
      <c r="I16" s="4651"/>
      <c r="J16" s="4654"/>
      <c r="K16" s="4636"/>
      <c r="L16" s="1217"/>
      <c r="M16" s="1217"/>
      <c r="N16" s="1217"/>
      <c r="O16" s="1217"/>
      <c r="P16" s="1217"/>
      <c r="Q16" s="1217"/>
      <c r="R16" s="1217"/>
      <c r="S16" s="256"/>
      <c r="T16" s="256"/>
      <c r="U16" s="256"/>
      <c r="V16" s="256"/>
      <c r="W16" s="1218"/>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1:43" s="1853" customFormat="1" ht="17.25" hidden="1" customHeight="1">
      <c r="A17" s="245"/>
      <c r="C17" s="244"/>
      <c r="D17" s="4642"/>
      <c r="E17" s="4644"/>
      <c r="F17" s="4647"/>
      <c r="G17" s="4644"/>
      <c r="H17" s="1219"/>
      <c r="I17" s="1220"/>
      <c r="J17" s="1220"/>
      <c r="K17" s="1220"/>
      <c r="L17" s="1220"/>
      <c r="M17" s="1220"/>
      <c r="N17" s="1220"/>
      <c r="O17" s="1220"/>
      <c r="P17" s="1220"/>
      <c r="Q17" s="1220"/>
      <c r="R17" s="1220"/>
      <c r="S17" s="1221"/>
      <c r="T17" s="1221"/>
      <c r="U17" s="1221"/>
      <c r="V17" s="1221"/>
      <c r="W17" s="1222"/>
      <c r="Y17" s="1180"/>
      <c r="Z17" s="1180"/>
      <c r="AA17" s="1180"/>
      <c r="AB17" s="1180"/>
      <c r="AC17" s="1180"/>
      <c r="AD17" s="1180"/>
      <c r="AE17" s="1180"/>
      <c r="AF17" s="1180"/>
      <c r="AG17" s="1180"/>
      <c r="AH17" s="1180"/>
      <c r="AI17" s="1180"/>
      <c r="AJ17" s="1180"/>
      <c r="AK17" s="1180"/>
      <c r="AL17" s="1180"/>
      <c r="AM17" s="1180"/>
      <c r="AN17" s="1180"/>
      <c r="AO17" s="1180"/>
      <c r="AP17" s="1180"/>
      <c r="AQ17" s="1180"/>
    </row>
    <row r="18" spans="1:43" s="1856" customFormat="1" ht="17.25" hidden="1" customHeight="1">
      <c r="A18" s="245"/>
      <c r="C18" s="130"/>
      <c r="D18" s="4641">
        <v>2</v>
      </c>
      <c r="E18" s="4643" t="s">
        <v>219</v>
      </c>
      <c r="F18" s="4645" t="s">
        <v>55</v>
      </c>
      <c r="G18" s="4643"/>
      <c r="H18" s="4648"/>
      <c r="I18" s="4650"/>
      <c r="J18" s="4652"/>
      <c r="K18" s="4635"/>
      <c r="L18" s="4635"/>
      <c r="M18" s="4635"/>
      <c r="N18" s="4637"/>
      <c r="O18" s="4635"/>
      <c r="P18" s="4635"/>
      <c r="Q18" s="4635"/>
      <c r="R18" s="4640"/>
      <c r="S18" s="4635"/>
      <c r="T18" s="1336"/>
      <c r="U18" s="1336"/>
      <c r="V18" s="1335"/>
      <c r="W18" s="1216"/>
      <c r="X18" s="1187"/>
      <c r="Y18" s="1187"/>
      <c r="Z18" s="1187"/>
      <c r="AA18" s="1187"/>
      <c r="AB18" s="1187"/>
      <c r="AC18" s="1187" t="s">
        <v>220</v>
      </c>
      <c r="AD18" s="1187" t="s">
        <v>221</v>
      </c>
      <c r="AE18" s="1187" t="s">
        <v>222</v>
      </c>
      <c r="AF18" s="1187" t="s">
        <v>223</v>
      </c>
      <c r="AG18" s="1187" t="s">
        <v>224</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84">
        <f>$I$18</f>
        <v>0</v>
      </c>
      <c r="AO18" s="1187" t="str">
        <f>$I$18&amp;"."&amp;$M$18</f>
        <v>.</v>
      </c>
      <c r="AP18" s="1180" t="str">
        <f>$I$18&amp;"."&amp;$M$18&amp;"."&amp;$Q$18</f>
        <v>..</v>
      </c>
      <c r="AQ18" s="1180" t="str">
        <f>$I$18&amp;"."&amp;$M$18&amp;"."&amp;$Q$18&amp;"."&amp;$U$18</f>
        <v>...</v>
      </c>
    </row>
    <row r="19" spans="1:43" s="1856" customFormat="1" ht="17.25" hidden="1" customHeight="1">
      <c r="A19" s="245"/>
      <c r="C19" s="244"/>
      <c r="D19" s="4641"/>
      <c r="E19" s="4643"/>
      <c r="F19" s="4646"/>
      <c r="G19" s="4643"/>
      <c r="H19" s="4649"/>
      <c r="I19" s="4651"/>
      <c r="J19" s="4653"/>
      <c r="K19" s="4636"/>
      <c r="L19" s="4636"/>
      <c r="M19" s="4636"/>
      <c r="N19" s="4638"/>
      <c r="O19" s="4636"/>
      <c r="P19" s="4636"/>
      <c r="Q19" s="4636"/>
      <c r="R19" s="4639"/>
      <c r="S19" s="4636"/>
      <c r="T19" s="1217"/>
      <c r="U19" s="1217"/>
      <c r="V19" s="1217"/>
      <c r="W19" s="1218"/>
      <c r="X19" s="1180"/>
      <c r="Y19" s="1180"/>
      <c r="Z19" s="1180"/>
      <c r="AA19" s="1180"/>
      <c r="AB19" s="1180"/>
      <c r="AC19" s="1180"/>
      <c r="AD19" s="1180"/>
      <c r="AE19" s="1180"/>
      <c r="AF19" s="1180"/>
      <c r="AG19" s="1180"/>
      <c r="AH19" s="1180"/>
      <c r="AI19" s="1180"/>
      <c r="AJ19" s="1180"/>
      <c r="AK19" s="1180"/>
      <c r="AL19" s="1180"/>
      <c r="AM19" s="1180"/>
      <c r="AN19" s="1180"/>
      <c r="AO19" s="1180"/>
      <c r="AP19" s="1180"/>
      <c r="AQ19" s="1180"/>
    </row>
    <row r="20" spans="1:43" s="1856" customFormat="1" ht="17.25" hidden="1" customHeight="1">
      <c r="A20" s="245"/>
      <c r="C20" s="244"/>
      <c r="D20" s="4642"/>
      <c r="E20" s="4644"/>
      <c r="F20" s="4646"/>
      <c r="G20" s="4644"/>
      <c r="H20" s="4649"/>
      <c r="I20" s="4651"/>
      <c r="J20" s="4654"/>
      <c r="K20" s="4636"/>
      <c r="L20" s="4636"/>
      <c r="M20" s="4636"/>
      <c r="N20" s="4639"/>
      <c r="O20" s="4636"/>
      <c r="P20" s="1334"/>
      <c r="Q20" s="1217"/>
      <c r="R20" s="1217"/>
      <c r="S20" s="256"/>
      <c r="T20" s="256"/>
      <c r="U20" s="256"/>
      <c r="V20" s="256"/>
      <c r="W20" s="1218"/>
      <c r="X20" s="1180"/>
      <c r="Y20" s="1180"/>
      <c r="Z20" s="1180"/>
      <c r="AA20" s="1180"/>
      <c r="AB20" s="1180"/>
      <c r="AC20" s="1180"/>
      <c r="AD20" s="1180"/>
      <c r="AE20" s="1180"/>
      <c r="AF20" s="1180"/>
      <c r="AG20" s="1180"/>
      <c r="AH20" s="1180"/>
      <c r="AI20" s="1180"/>
      <c r="AJ20" s="1180"/>
      <c r="AK20" s="1180"/>
      <c r="AL20" s="1180"/>
      <c r="AM20" s="1180"/>
      <c r="AN20" s="1180"/>
      <c r="AO20" s="1180"/>
      <c r="AP20" s="1180"/>
      <c r="AQ20" s="1180"/>
    </row>
    <row r="21" spans="1:43" s="1856" customFormat="1" ht="17.25" hidden="1" customHeight="1">
      <c r="A21" s="245"/>
      <c r="C21" s="244"/>
      <c r="D21" s="4642"/>
      <c r="E21" s="4644"/>
      <c r="F21" s="4646"/>
      <c r="G21" s="4644"/>
      <c r="H21" s="4649"/>
      <c r="I21" s="4651"/>
      <c r="J21" s="4654"/>
      <c r="K21" s="4636"/>
      <c r="L21" s="1217"/>
      <c r="M21" s="1217"/>
      <c r="N21" s="1217"/>
      <c r="O21" s="1217"/>
      <c r="P21" s="1217"/>
      <c r="Q21" s="1217"/>
      <c r="R21" s="1217"/>
      <c r="S21" s="256"/>
      <c r="T21" s="256"/>
      <c r="U21" s="256"/>
      <c r="V21" s="256"/>
      <c r="W21" s="1218"/>
      <c r="X21" s="1180"/>
      <c r="Y21" s="1180"/>
      <c r="Z21" s="1180"/>
      <c r="AA21" s="1180"/>
      <c r="AB21" s="1180"/>
      <c r="AC21" s="1180"/>
      <c r="AD21" s="1180"/>
      <c r="AE21" s="1180"/>
      <c r="AF21" s="1180"/>
      <c r="AG21" s="1180"/>
      <c r="AH21" s="1180"/>
      <c r="AI21" s="1180"/>
      <c r="AJ21" s="1180"/>
      <c r="AK21" s="1180"/>
      <c r="AL21" s="1180"/>
      <c r="AM21" s="1180"/>
      <c r="AN21" s="1180"/>
      <c r="AO21" s="1180"/>
      <c r="AP21" s="1180"/>
      <c r="AQ21" s="1180"/>
    </row>
    <row r="22" spans="1:43" s="1856" customFormat="1" ht="17.25" hidden="1" customHeight="1">
      <c r="A22" s="245"/>
      <c r="C22" s="244"/>
      <c r="D22" s="4642"/>
      <c r="E22" s="4644"/>
      <c r="F22" s="4647"/>
      <c r="G22" s="4644"/>
      <c r="H22" s="1219"/>
      <c r="I22" s="1220"/>
      <c r="J22" s="1220"/>
      <c r="K22" s="1220"/>
      <c r="L22" s="1220"/>
      <c r="M22" s="1220"/>
      <c r="N22" s="1220"/>
      <c r="O22" s="1220"/>
      <c r="P22" s="1220"/>
      <c r="Q22" s="1220"/>
      <c r="R22" s="1220"/>
      <c r="S22" s="1221"/>
      <c r="T22" s="1221"/>
      <c r="U22" s="1221"/>
      <c r="V22" s="1221"/>
      <c r="W22" s="1222"/>
      <c r="X22" s="1180"/>
      <c r="Y22" s="1180"/>
      <c r="Z22" s="1180"/>
      <c r="AA22" s="1180"/>
      <c r="AB22" s="1180"/>
      <c r="AC22" s="1180"/>
      <c r="AD22" s="1180"/>
      <c r="AE22" s="1180"/>
      <c r="AF22" s="1180"/>
      <c r="AG22" s="1180"/>
      <c r="AH22" s="1180"/>
      <c r="AI22" s="1180"/>
      <c r="AJ22" s="1180"/>
      <c r="AK22" s="1180"/>
      <c r="AL22" s="1180"/>
      <c r="AM22" s="1180"/>
      <c r="AN22" s="1180"/>
      <c r="AO22" s="1180"/>
      <c r="AP22" s="1180"/>
      <c r="AQ22" s="1180"/>
    </row>
    <row r="23" spans="1:43" s="1856" customFormat="1" ht="17.25" hidden="1" customHeight="1">
      <c r="A23" s="245"/>
      <c r="C23" s="130"/>
      <c r="D23" s="4641">
        <v>3</v>
      </c>
      <c r="E23" s="4643" t="s">
        <v>225</v>
      </c>
      <c r="F23" s="4645" t="s">
        <v>55</v>
      </c>
      <c r="G23" s="4643"/>
      <c r="H23" s="4648"/>
      <c r="I23" s="4650"/>
      <c r="J23" s="4652"/>
      <c r="K23" s="4635"/>
      <c r="L23" s="4635"/>
      <c r="M23" s="4635"/>
      <c r="N23" s="4637"/>
      <c r="O23" s="4635"/>
      <c r="P23" s="4635"/>
      <c r="Q23" s="4635"/>
      <c r="R23" s="4640"/>
      <c r="S23" s="4635"/>
      <c r="T23" s="1336"/>
      <c r="U23" s="1336"/>
      <c r="V23" s="1335"/>
      <c r="W23" s="1216"/>
      <c r="X23" s="1187"/>
      <c r="Y23" s="1187"/>
      <c r="Z23" s="1187"/>
      <c r="AA23" s="1187"/>
      <c r="AB23" s="1187"/>
      <c r="AC23" s="1187" t="s">
        <v>226</v>
      </c>
      <c r="AD23" s="1187" t="s">
        <v>227</v>
      </c>
      <c r="AE23" s="1187" t="s">
        <v>228</v>
      </c>
      <c r="AF23" s="1187" t="s">
        <v>229</v>
      </c>
      <c r="AG23" s="1187" t="s">
        <v>230</v>
      </c>
      <c r="AH23" s="1187" t="str">
        <f>IF($E$23=0,"",$E$23)</f>
        <v>Тарифы на теплоноситель, поставляемый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84">
        <f>$I$23</f>
        <v>0</v>
      </c>
      <c r="AO23" s="1187" t="str">
        <f>$I$23&amp;"."&amp;$M$23</f>
        <v>.</v>
      </c>
      <c r="AP23" s="1180" t="str">
        <f>$I$23&amp;"."&amp;$M$23&amp;"."&amp;$Q$23</f>
        <v>..</v>
      </c>
      <c r="AQ23" s="1180" t="str">
        <f>$I$23&amp;"."&amp;$M$23&amp;"."&amp;$Q$23&amp;"."&amp;$U$23</f>
        <v>...</v>
      </c>
    </row>
    <row r="24" spans="1:43" s="1856" customFormat="1" ht="17.25" hidden="1" customHeight="1">
      <c r="A24" s="245"/>
      <c r="C24" s="244"/>
      <c r="D24" s="4641"/>
      <c r="E24" s="4643"/>
      <c r="F24" s="4646"/>
      <c r="G24" s="4643"/>
      <c r="H24" s="4649"/>
      <c r="I24" s="4651"/>
      <c r="J24" s="4653"/>
      <c r="K24" s="4636"/>
      <c r="L24" s="4636"/>
      <c r="M24" s="4636"/>
      <c r="N24" s="4638"/>
      <c r="O24" s="4636"/>
      <c r="P24" s="4636"/>
      <c r="Q24" s="4636"/>
      <c r="R24" s="4639"/>
      <c r="S24" s="4636"/>
      <c r="T24" s="1217"/>
      <c r="U24" s="1217"/>
      <c r="V24" s="1217"/>
      <c r="W24" s="1218"/>
      <c r="X24" s="1180"/>
      <c r="Y24" s="1180"/>
      <c r="Z24" s="1180"/>
      <c r="AA24" s="1180"/>
      <c r="AB24" s="1180"/>
      <c r="AC24" s="1180"/>
      <c r="AD24" s="1180"/>
      <c r="AE24" s="1180"/>
      <c r="AF24" s="1180"/>
      <c r="AG24" s="1180"/>
      <c r="AH24" s="1180"/>
      <c r="AI24" s="1180"/>
      <c r="AJ24" s="1180"/>
      <c r="AK24" s="1180"/>
      <c r="AL24" s="1180"/>
      <c r="AM24" s="1180"/>
      <c r="AN24" s="1180"/>
      <c r="AO24" s="1180"/>
      <c r="AP24" s="1180"/>
      <c r="AQ24" s="1180"/>
    </row>
    <row r="25" spans="1:43" s="1856" customFormat="1" ht="17.25" hidden="1" customHeight="1">
      <c r="A25" s="245"/>
      <c r="C25" s="244"/>
      <c r="D25" s="4642"/>
      <c r="E25" s="4644"/>
      <c r="F25" s="4646"/>
      <c r="G25" s="4644"/>
      <c r="H25" s="4649"/>
      <c r="I25" s="4651"/>
      <c r="J25" s="4654"/>
      <c r="K25" s="4636"/>
      <c r="L25" s="4636"/>
      <c r="M25" s="4636"/>
      <c r="N25" s="4639"/>
      <c r="O25" s="4636"/>
      <c r="P25" s="1334"/>
      <c r="Q25" s="1217"/>
      <c r="R25" s="1217"/>
      <c r="S25" s="256"/>
      <c r="T25" s="256"/>
      <c r="U25" s="256"/>
      <c r="V25" s="256"/>
      <c r="W25" s="1218"/>
      <c r="X25" s="1180"/>
      <c r="Y25" s="1180"/>
      <c r="Z25" s="1180"/>
      <c r="AA25" s="1180"/>
      <c r="AB25" s="1180"/>
      <c r="AC25" s="1180"/>
      <c r="AD25" s="1180"/>
      <c r="AE25" s="1180"/>
      <c r="AF25" s="1180"/>
      <c r="AG25" s="1180"/>
      <c r="AH25" s="1180"/>
      <c r="AI25" s="1180"/>
      <c r="AJ25" s="1180"/>
      <c r="AK25" s="1180"/>
      <c r="AL25" s="1180"/>
      <c r="AM25" s="1180"/>
      <c r="AN25" s="1180"/>
      <c r="AO25" s="1180"/>
      <c r="AP25" s="1180"/>
      <c r="AQ25" s="1180"/>
    </row>
    <row r="26" spans="1:43" s="1856" customFormat="1" ht="17.25" hidden="1" customHeight="1">
      <c r="A26" s="245"/>
      <c r="C26" s="244"/>
      <c r="D26" s="4642"/>
      <c r="E26" s="4644"/>
      <c r="F26" s="4646"/>
      <c r="G26" s="4644"/>
      <c r="H26" s="4649"/>
      <c r="I26" s="4651"/>
      <c r="J26" s="4654"/>
      <c r="K26" s="4636"/>
      <c r="L26" s="1217"/>
      <c r="M26" s="1217"/>
      <c r="N26" s="1217"/>
      <c r="O26" s="1217"/>
      <c r="P26" s="1217"/>
      <c r="Q26" s="1217"/>
      <c r="R26" s="1217"/>
      <c r="S26" s="256"/>
      <c r="T26" s="256"/>
      <c r="U26" s="256"/>
      <c r="V26" s="256"/>
      <c r="W26" s="1218"/>
      <c r="X26" s="1180"/>
      <c r="Y26" s="1180"/>
      <c r="Z26" s="1180"/>
      <c r="AA26" s="1180"/>
      <c r="AB26" s="1180"/>
      <c r="AC26" s="1180"/>
      <c r="AD26" s="1180"/>
      <c r="AE26" s="1180"/>
      <c r="AF26" s="1180"/>
      <c r="AG26" s="1180"/>
      <c r="AH26" s="1180"/>
      <c r="AI26" s="1180"/>
      <c r="AJ26" s="1180"/>
      <c r="AK26" s="1180"/>
      <c r="AL26" s="1180"/>
      <c r="AM26" s="1180"/>
      <c r="AN26" s="1180"/>
      <c r="AO26" s="1180"/>
      <c r="AP26" s="1180"/>
      <c r="AQ26" s="1180"/>
    </row>
    <row r="27" spans="1:43" s="1856" customFormat="1" ht="17.25" hidden="1" customHeight="1">
      <c r="A27" s="245"/>
      <c r="C27" s="244"/>
      <c r="D27" s="4642"/>
      <c r="E27" s="4644"/>
      <c r="F27" s="4647"/>
      <c r="G27" s="4644"/>
      <c r="H27" s="1219"/>
      <c r="I27" s="1220"/>
      <c r="J27" s="1220"/>
      <c r="K27" s="1220"/>
      <c r="L27" s="1220"/>
      <c r="M27" s="1220"/>
      <c r="N27" s="1220"/>
      <c r="O27" s="1220"/>
      <c r="P27" s="1220"/>
      <c r="Q27" s="1220"/>
      <c r="R27" s="1220"/>
      <c r="S27" s="1221"/>
      <c r="T27" s="1221"/>
      <c r="U27" s="1221"/>
      <c r="V27" s="1221"/>
      <c r="W27" s="1222"/>
      <c r="X27" s="1180"/>
      <c r="Y27" s="1180"/>
      <c r="Z27" s="1180"/>
      <c r="AA27" s="1180"/>
      <c r="AB27" s="1180"/>
      <c r="AC27" s="1180"/>
      <c r="AD27" s="1180"/>
      <c r="AE27" s="1180"/>
      <c r="AF27" s="1180"/>
      <c r="AG27" s="1180"/>
      <c r="AH27" s="1180"/>
      <c r="AI27" s="1180"/>
      <c r="AJ27" s="1180"/>
      <c r="AK27" s="1180"/>
      <c r="AL27" s="1180"/>
      <c r="AM27" s="1180"/>
      <c r="AN27" s="1180"/>
      <c r="AO27" s="1180"/>
      <c r="AP27" s="1180"/>
      <c r="AQ27" s="1180"/>
    </row>
    <row r="28" spans="1:43" s="1856" customFormat="1" ht="17.25" hidden="1" customHeight="1">
      <c r="A28" s="245"/>
      <c r="C28" s="130"/>
      <c r="D28" s="4641">
        <v>4</v>
      </c>
      <c r="E28" s="4643" t="s">
        <v>231</v>
      </c>
      <c r="F28" s="4645" t="s">
        <v>55</v>
      </c>
      <c r="G28" s="4643"/>
      <c r="H28" s="4648"/>
      <c r="I28" s="4650"/>
      <c r="J28" s="4652"/>
      <c r="K28" s="4635"/>
      <c r="L28" s="4635"/>
      <c r="M28" s="4635"/>
      <c r="N28" s="4637"/>
      <c r="O28" s="4635"/>
      <c r="P28" s="4635"/>
      <c r="Q28" s="4635"/>
      <c r="R28" s="4640"/>
      <c r="S28" s="4635"/>
      <c r="T28" s="1336"/>
      <c r="U28" s="1336"/>
      <c r="V28" s="1335"/>
      <c r="W28" s="1216"/>
      <c r="X28" s="1187"/>
      <c r="Y28" s="1187"/>
      <c r="Z28" s="1187"/>
      <c r="AA28" s="1187"/>
      <c r="AB28" s="1187"/>
      <c r="AC28" s="1187" t="s">
        <v>232</v>
      </c>
      <c r="AD28" s="1187" t="s">
        <v>233</v>
      </c>
      <c r="AE28" s="1187" t="s">
        <v>234</v>
      </c>
      <c r="AF28" s="1187" t="s">
        <v>235</v>
      </c>
      <c r="AG28" s="1187" t="s">
        <v>236</v>
      </c>
      <c r="AH28" s="118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84">
        <f>$I$28</f>
        <v>0</v>
      </c>
      <c r="AO28" s="1187" t="str">
        <f>$I$28&amp;"."&amp;$M$28</f>
        <v>.</v>
      </c>
      <c r="AP28" s="1180" t="str">
        <f>$I$28&amp;"."&amp;$M$28&amp;"."&amp;$Q$28</f>
        <v>..</v>
      </c>
      <c r="AQ28" s="1180" t="str">
        <f>$I$28&amp;"."&amp;$M$28&amp;"."&amp;$Q$28&amp;"."&amp;$U$28</f>
        <v>...</v>
      </c>
    </row>
    <row r="29" spans="1:43" s="1856" customFormat="1" ht="17.25" hidden="1" customHeight="1">
      <c r="A29" s="245"/>
      <c r="C29" s="244"/>
      <c r="D29" s="4641"/>
      <c r="E29" s="4643"/>
      <c r="F29" s="4646"/>
      <c r="G29" s="4643"/>
      <c r="H29" s="4649"/>
      <c r="I29" s="4651"/>
      <c r="J29" s="4653"/>
      <c r="K29" s="4636"/>
      <c r="L29" s="4636"/>
      <c r="M29" s="4636"/>
      <c r="N29" s="4638"/>
      <c r="O29" s="4636"/>
      <c r="P29" s="4636"/>
      <c r="Q29" s="4636"/>
      <c r="R29" s="4639"/>
      <c r="S29" s="4636"/>
      <c r="T29" s="1217"/>
      <c r="U29" s="1217"/>
      <c r="V29" s="1217"/>
      <c r="W29" s="1218"/>
      <c r="X29" s="1180"/>
      <c r="Y29" s="1180"/>
      <c r="Z29" s="1180"/>
      <c r="AA29" s="1180"/>
      <c r="AB29" s="1180"/>
      <c r="AC29" s="1180"/>
      <c r="AD29" s="1180"/>
      <c r="AE29" s="1180"/>
      <c r="AF29" s="1180"/>
      <c r="AG29" s="1180"/>
      <c r="AH29" s="1180"/>
      <c r="AI29" s="1180"/>
      <c r="AJ29" s="1180"/>
      <c r="AK29" s="1180"/>
      <c r="AL29" s="1180"/>
      <c r="AM29" s="1180"/>
      <c r="AN29" s="1180"/>
      <c r="AO29" s="1180"/>
      <c r="AP29" s="1180"/>
      <c r="AQ29" s="1180"/>
    </row>
    <row r="30" spans="1:43" s="1856" customFormat="1" ht="17.25" hidden="1" customHeight="1">
      <c r="A30" s="245"/>
      <c r="C30" s="244"/>
      <c r="D30" s="4642"/>
      <c r="E30" s="4644"/>
      <c r="F30" s="4646"/>
      <c r="G30" s="4644"/>
      <c r="H30" s="4649"/>
      <c r="I30" s="4651"/>
      <c r="J30" s="4654"/>
      <c r="K30" s="4636"/>
      <c r="L30" s="4636"/>
      <c r="M30" s="4636"/>
      <c r="N30" s="4639"/>
      <c r="O30" s="4636"/>
      <c r="P30" s="1334"/>
      <c r="Q30" s="1217"/>
      <c r="R30" s="1217"/>
      <c r="S30" s="256"/>
      <c r="T30" s="256"/>
      <c r="U30" s="256"/>
      <c r="V30" s="256"/>
      <c r="W30" s="1218"/>
      <c r="X30" s="1180"/>
      <c r="Y30" s="1180"/>
      <c r="Z30" s="1180"/>
      <c r="AA30" s="1180"/>
      <c r="AB30" s="1180"/>
      <c r="AC30" s="1180"/>
      <c r="AD30" s="1180"/>
      <c r="AE30" s="1180"/>
      <c r="AF30" s="1180"/>
      <c r="AG30" s="1180"/>
      <c r="AH30" s="1180"/>
      <c r="AI30" s="1180"/>
      <c r="AJ30" s="1180"/>
      <c r="AK30" s="1180"/>
      <c r="AL30" s="1180"/>
      <c r="AM30" s="1180"/>
      <c r="AN30" s="1180"/>
      <c r="AO30" s="1180"/>
      <c r="AP30" s="1180"/>
      <c r="AQ30" s="1180"/>
    </row>
    <row r="31" spans="1:43" s="1856" customFormat="1" ht="17.25" hidden="1" customHeight="1">
      <c r="A31" s="245"/>
      <c r="C31" s="244"/>
      <c r="D31" s="4642"/>
      <c r="E31" s="4644"/>
      <c r="F31" s="4646"/>
      <c r="G31" s="4644"/>
      <c r="H31" s="4649"/>
      <c r="I31" s="4651"/>
      <c r="J31" s="4654"/>
      <c r="K31" s="4636"/>
      <c r="L31" s="1217"/>
      <c r="M31" s="1217"/>
      <c r="N31" s="1217"/>
      <c r="O31" s="1217"/>
      <c r="P31" s="1217"/>
      <c r="Q31" s="1217"/>
      <c r="R31" s="1217"/>
      <c r="S31" s="256"/>
      <c r="T31" s="256"/>
      <c r="U31" s="256"/>
      <c r="V31" s="256"/>
      <c r="W31" s="1218"/>
      <c r="X31" s="1180"/>
      <c r="Y31" s="1180"/>
      <c r="Z31" s="1180"/>
      <c r="AA31" s="1180"/>
      <c r="AB31" s="1180"/>
      <c r="AC31" s="1180"/>
      <c r="AD31" s="1180"/>
      <c r="AE31" s="1180"/>
      <c r="AF31" s="1180"/>
      <c r="AG31" s="1180"/>
      <c r="AH31" s="1180"/>
      <c r="AI31" s="1180"/>
      <c r="AJ31" s="1180"/>
      <c r="AK31" s="1180"/>
      <c r="AL31" s="1180"/>
      <c r="AM31" s="1180"/>
      <c r="AN31" s="1180"/>
      <c r="AO31" s="1180"/>
      <c r="AP31" s="1180"/>
      <c r="AQ31" s="1180"/>
    </row>
    <row r="32" spans="1:43" s="1856" customFormat="1" ht="17.25" hidden="1" customHeight="1">
      <c r="A32" s="245"/>
      <c r="C32" s="244"/>
      <c r="D32" s="4642"/>
      <c r="E32" s="4644"/>
      <c r="F32" s="4647"/>
      <c r="G32" s="4644"/>
      <c r="H32" s="1219"/>
      <c r="I32" s="1220"/>
      <c r="J32" s="1220"/>
      <c r="K32" s="1220"/>
      <c r="L32" s="1220"/>
      <c r="M32" s="1220"/>
      <c r="N32" s="1220"/>
      <c r="O32" s="1220"/>
      <c r="P32" s="1220"/>
      <c r="Q32" s="1220"/>
      <c r="R32" s="1220"/>
      <c r="S32" s="1221"/>
      <c r="T32" s="1221"/>
      <c r="U32" s="1221"/>
      <c r="V32" s="1221"/>
      <c r="W32" s="1222"/>
      <c r="X32" s="1180"/>
      <c r="Y32" s="1180"/>
      <c r="Z32" s="1180"/>
      <c r="AA32" s="1180"/>
      <c r="AB32" s="1180"/>
      <c r="AC32" s="1180"/>
      <c r="AD32" s="1180"/>
      <c r="AE32" s="1180"/>
      <c r="AF32" s="1180"/>
      <c r="AG32" s="1180"/>
      <c r="AH32" s="1180"/>
      <c r="AI32" s="1180"/>
      <c r="AJ32" s="1180"/>
      <c r="AK32" s="1180"/>
      <c r="AL32" s="1180"/>
      <c r="AM32" s="1180"/>
      <c r="AN32" s="1180"/>
      <c r="AO32" s="1180"/>
      <c r="AP32" s="1180"/>
      <c r="AQ32" s="1180"/>
    </row>
    <row r="33" spans="1:43" s="1856" customFormat="1" ht="17.25" hidden="1" customHeight="1">
      <c r="A33" s="245"/>
      <c r="C33" s="130"/>
      <c r="D33" s="4641">
        <v>5</v>
      </c>
      <c r="E33" s="4643" t="s">
        <v>237</v>
      </c>
      <c r="F33" s="4645" t="s">
        <v>55</v>
      </c>
      <c r="G33" s="4643"/>
      <c r="H33" s="4648"/>
      <c r="I33" s="4650"/>
      <c r="J33" s="4652"/>
      <c r="K33" s="4635"/>
      <c r="L33" s="4635"/>
      <c r="M33" s="4635"/>
      <c r="N33" s="4637"/>
      <c r="O33" s="4635"/>
      <c r="P33" s="4635"/>
      <c r="Q33" s="4635"/>
      <c r="R33" s="4640"/>
      <c r="S33" s="4635"/>
      <c r="T33" s="1336"/>
      <c r="U33" s="1336"/>
      <c r="V33" s="1335"/>
      <c r="W33" s="1216"/>
      <c r="X33" s="1187"/>
      <c r="Y33" s="1187"/>
      <c r="Z33" s="1187"/>
      <c r="AA33" s="1187"/>
      <c r="AB33" s="1187"/>
      <c r="AC33" s="1187" t="s">
        <v>238</v>
      </c>
      <c r="AD33" s="1187" t="s">
        <v>239</v>
      </c>
      <c r="AE33" s="1187" t="s">
        <v>240</v>
      </c>
      <c r="AF33" s="1187" t="s">
        <v>241</v>
      </c>
      <c r="AG33" s="1187" t="s">
        <v>242</v>
      </c>
      <c r="AH33" s="1187" t="str">
        <f>IF($E$33=0,"",$E$33)</f>
        <v>Тарифы на услуги по передаче тепловой энергии</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84">
        <f>$I$33</f>
        <v>0</v>
      </c>
      <c r="AO33" s="1187" t="str">
        <f>$I$33&amp;"."&amp;$M$33</f>
        <v>.</v>
      </c>
      <c r="AP33" s="1180" t="str">
        <f>$I$33&amp;"."&amp;$M$33&amp;"."&amp;$Q$33</f>
        <v>..</v>
      </c>
      <c r="AQ33" s="1180" t="str">
        <f>$I$33&amp;"."&amp;$M$33&amp;"."&amp;$Q$33&amp;"."&amp;$U$33</f>
        <v>...</v>
      </c>
    </row>
    <row r="34" spans="1:43" s="1856" customFormat="1" ht="17.25" hidden="1" customHeight="1">
      <c r="A34" s="245"/>
      <c r="C34" s="244"/>
      <c r="D34" s="4641"/>
      <c r="E34" s="4643"/>
      <c r="F34" s="4646"/>
      <c r="G34" s="4643"/>
      <c r="H34" s="4649"/>
      <c r="I34" s="4651"/>
      <c r="J34" s="4653"/>
      <c r="K34" s="4636"/>
      <c r="L34" s="4636"/>
      <c r="M34" s="4636"/>
      <c r="N34" s="4638"/>
      <c r="O34" s="4636"/>
      <c r="P34" s="4636"/>
      <c r="Q34" s="4636"/>
      <c r="R34" s="4639"/>
      <c r="S34" s="4636"/>
      <c r="T34" s="1217"/>
      <c r="U34" s="1217"/>
      <c r="V34" s="1217"/>
      <c r="W34" s="1218"/>
      <c r="X34" s="1180"/>
      <c r="Y34" s="1180"/>
      <c r="Z34" s="1180"/>
      <c r="AA34" s="1180"/>
      <c r="AB34" s="1180"/>
      <c r="AC34" s="1180"/>
      <c r="AD34" s="1180"/>
      <c r="AE34" s="1180"/>
      <c r="AF34" s="1180"/>
      <c r="AG34" s="1180"/>
      <c r="AH34" s="1180"/>
      <c r="AI34" s="1180"/>
      <c r="AJ34" s="1180"/>
      <c r="AK34" s="1180"/>
      <c r="AL34" s="1180"/>
      <c r="AM34" s="1180"/>
      <c r="AN34" s="1180"/>
      <c r="AO34" s="1180"/>
      <c r="AP34" s="1180"/>
      <c r="AQ34" s="1180"/>
    </row>
    <row r="35" spans="1:43" s="1856" customFormat="1" ht="17.25" hidden="1" customHeight="1">
      <c r="A35" s="245"/>
      <c r="C35" s="244"/>
      <c r="D35" s="4642"/>
      <c r="E35" s="4644"/>
      <c r="F35" s="4646"/>
      <c r="G35" s="4644"/>
      <c r="H35" s="4649"/>
      <c r="I35" s="4651"/>
      <c r="J35" s="4654"/>
      <c r="K35" s="4636"/>
      <c r="L35" s="4636"/>
      <c r="M35" s="4636"/>
      <c r="N35" s="4639"/>
      <c r="O35" s="4636"/>
      <c r="P35" s="1334"/>
      <c r="Q35" s="1217"/>
      <c r="R35" s="1217"/>
      <c r="S35" s="256"/>
      <c r="T35" s="256"/>
      <c r="U35" s="256"/>
      <c r="V35" s="256"/>
      <c r="W35" s="1218"/>
      <c r="X35" s="1180"/>
      <c r="Y35" s="1180"/>
      <c r="Z35" s="1180"/>
      <c r="AA35" s="1180"/>
      <c r="AB35" s="1180"/>
      <c r="AC35" s="1180"/>
      <c r="AD35" s="1180"/>
      <c r="AE35" s="1180"/>
      <c r="AF35" s="1180"/>
      <c r="AG35" s="1180"/>
      <c r="AH35" s="1180"/>
      <c r="AI35" s="1180"/>
      <c r="AJ35" s="1180"/>
      <c r="AK35" s="1180"/>
      <c r="AL35" s="1180"/>
      <c r="AM35" s="1180"/>
      <c r="AN35" s="1180"/>
      <c r="AO35" s="1180"/>
      <c r="AP35" s="1180"/>
      <c r="AQ35" s="1180"/>
    </row>
    <row r="36" spans="1:43" s="1856" customFormat="1" ht="17.25" hidden="1" customHeight="1">
      <c r="A36" s="245"/>
      <c r="C36" s="244"/>
      <c r="D36" s="4642"/>
      <c r="E36" s="4644"/>
      <c r="F36" s="4646"/>
      <c r="G36" s="4644"/>
      <c r="H36" s="4649"/>
      <c r="I36" s="4651"/>
      <c r="J36" s="4654"/>
      <c r="K36" s="4636"/>
      <c r="L36" s="1217"/>
      <c r="M36" s="1217"/>
      <c r="N36" s="1217"/>
      <c r="O36" s="1217"/>
      <c r="P36" s="1217"/>
      <c r="Q36" s="1217"/>
      <c r="R36" s="1217"/>
      <c r="S36" s="256"/>
      <c r="T36" s="256"/>
      <c r="U36" s="256"/>
      <c r="V36" s="256"/>
      <c r="W36" s="1218"/>
      <c r="X36" s="1180"/>
      <c r="Y36" s="1180"/>
      <c r="Z36" s="1180"/>
      <c r="AA36" s="1180"/>
      <c r="AB36" s="1180"/>
      <c r="AC36" s="1180"/>
      <c r="AD36" s="1180"/>
      <c r="AE36" s="1180"/>
      <c r="AF36" s="1180"/>
      <c r="AG36" s="1180"/>
      <c r="AH36" s="1180"/>
      <c r="AI36" s="1180"/>
      <c r="AJ36" s="1180"/>
      <c r="AK36" s="1180"/>
      <c r="AL36" s="1180"/>
      <c r="AM36" s="1180"/>
      <c r="AN36" s="1180"/>
      <c r="AO36" s="1180"/>
      <c r="AP36" s="1180"/>
      <c r="AQ36" s="1180"/>
    </row>
    <row r="37" spans="1:43" s="1856" customFormat="1" ht="17.25" hidden="1" customHeight="1">
      <c r="A37" s="245"/>
      <c r="C37" s="244"/>
      <c r="D37" s="4642"/>
      <c r="E37" s="4644"/>
      <c r="F37" s="4647"/>
      <c r="G37" s="4644"/>
      <c r="H37" s="1219"/>
      <c r="I37" s="1220"/>
      <c r="J37" s="1220"/>
      <c r="K37" s="1220"/>
      <c r="L37" s="1220"/>
      <c r="M37" s="1220"/>
      <c r="N37" s="1220"/>
      <c r="O37" s="1220"/>
      <c r="P37" s="1220"/>
      <c r="Q37" s="1220"/>
      <c r="R37" s="1220"/>
      <c r="S37" s="1221"/>
      <c r="T37" s="1221"/>
      <c r="U37" s="1221"/>
      <c r="V37" s="1221"/>
      <c r="W37" s="1222"/>
      <c r="X37" s="1180"/>
      <c r="Y37" s="1180"/>
      <c r="Z37" s="1180"/>
      <c r="AA37" s="1180"/>
      <c r="AB37" s="1180"/>
      <c r="AC37" s="1180"/>
      <c r="AD37" s="1180"/>
      <c r="AE37" s="1180"/>
      <c r="AF37" s="1180"/>
      <c r="AG37" s="1180"/>
      <c r="AH37" s="1180"/>
      <c r="AI37" s="1180"/>
      <c r="AJ37" s="1180"/>
      <c r="AK37" s="1180"/>
      <c r="AL37" s="1180"/>
      <c r="AM37" s="1180"/>
      <c r="AN37" s="1180"/>
      <c r="AO37" s="1180"/>
      <c r="AP37" s="1180"/>
      <c r="AQ37" s="1180"/>
    </row>
    <row r="38" spans="1:43" s="1856" customFormat="1" ht="17.25" hidden="1" customHeight="1">
      <c r="A38" s="245"/>
      <c r="C38" s="130"/>
      <c r="D38" s="4641">
        <v>6</v>
      </c>
      <c r="E38" s="4643" t="s">
        <v>243</v>
      </c>
      <c r="F38" s="4645" t="s">
        <v>55</v>
      </c>
      <c r="G38" s="4643"/>
      <c r="H38" s="4648"/>
      <c r="I38" s="4650"/>
      <c r="J38" s="4652"/>
      <c r="K38" s="4635"/>
      <c r="L38" s="4635"/>
      <c r="M38" s="4635"/>
      <c r="N38" s="4637"/>
      <c r="O38" s="4635"/>
      <c r="P38" s="4635"/>
      <c r="Q38" s="4635"/>
      <c r="R38" s="4640"/>
      <c r="S38" s="4635"/>
      <c r="T38" s="1336"/>
      <c r="U38" s="1336"/>
      <c r="V38" s="1335"/>
      <c r="W38" s="1216"/>
      <c r="X38" s="1187"/>
      <c r="Y38" s="1187"/>
      <c r="Z38" s="1187"/>
      <c r="AA38" s="1187"/>
      <c r="AB38" s="1187"/>
      <c r="AC38" s="1187" t="s">
        <v>244</v>
      </c>
      <c r="AD38" s="1187" t="s">
        <v>245</v>
      </c>
      <c r="AE38" s="1187" t="s">
        <v>246</v>
      </c>
      <c r="AF38" s="1187" t="s">
        <v>247</v>
      </c>
      <c r="AG38" s="1187" t="s">
        <v>248</v>
      </c>
      <c r="AH38" s="1187" t="str">
        <f>IF($E$38=0,"",$E$38)</f>
        <v>Тарифы на услуги по передаче теплоносителя</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84">
        <f>$I$38</f>
        <v>0</v>
      </c>
      <c r="AO38" s="1187" t="str">
        <f>$I$38&amp;"."&amp;$M$38</f>
        <v>.</v>
      </c>
      <c r="AP38" s="1180" t="str">
        <f>$I$38&amp;"."&amp;$M$38&amp;"."&amp;$Q$38</f>
        <v>..</v>
      </c>
      <c r="AQ38" s="1180" t="str">
        <f>$I$38&amp;"."&amp;$M$38&amp;"."&amp;$Q$38&amp;"."&amp;$U$38</f>
        <v>...</v>
      </c>
    </row>
    <row r="39" spans="1:43" s="1856" customFormat="1" ht="17.25" hidden="1" customHeight="1">
      <c r="A39" s="245"/>
      <c r="C39" s="244"/>
      <c r="D39" s="4641"/>
      <c r="E39" s="4643"/>
      <c r="F39" s="4646"/>
      <c r="G39" s="4643"/>
      <c r="H39" s="4649"/>
      <c r="I39" s="4651"/>
      <c r="J39" s="4653"/>
      <c r="K39" s="4636"/>
      <c r="L39" s="4636"/>
      <c r="M39" s="4636"/>
      <c r="N39" s="4638"/>
      <c r="O39" s="4636"/>
      <c r="P39" s="4636"/>
      <c r="Q39" s="4636"/>
      <c r="R39" s="4639"/>
      <c r="S39" s="4636"/>
      <c r="T39" s="1217"/>
      <c r="U39" s="1217"/>
      <c r="V39" s="1217"/>
      <c r="W39" s="1218"/>
      <c r="X39" s="1180"/>
      <c r="Y39" s="1180"/>
      <c r="Z39" s="1180"/>
      <c r="AA39" s="1180"/>
      <c r="AB39" s="1180"/>
      <c r="AC39" s="1180"/>
      <c r="AD39" s="1180"/>
      <c r="AE39" s="1180"/>
      <c r="AF39" s="1180"/>
      <c r="AG39" s="1180"/>
      <c r="AH39" s="1180"/>
      <c r="AI39" s="1180"/>
      <c r="AJ39" s="1180"/>
      <c r="AK39" s="1180"/>
      <c r="AL39" s="1180"/>
      <c r="AM39" s="1180"/>
      <c r="AN39" s="1180"/>
      <c r="AO39" s="1180"/>
      <c r="AP39" s="1180"/>
      <c r="AQ39" s="1180"/>
    </row>
    <row r="40" spans="1:43" s="1856" customFormat="1" ht="17.25" hidden="1" customHeight="1">
      <c r="A40" s="245"/>
      <c r="C40" s="244"/>
      <c r="D40" s="4642"/>
      <c r="E40" s="4644"/>
      <c r="F40" s="4646"/>
      <c r="G40" s="4644"/>
      <c r="H40" s="4649"/>
      <c r="I40" s="4651"/>
      <c r="J40" s="4654"/>
      <c r="K40" s="4636"/>
      <c r="L40" s="4636"/>
      <c r="M40" s="4636"/>
      <c r="N40" s="4639"/>
      <c r="O40" s="4636"/>
      <c r="P40" s="1334"/>
      <c r="Q40" s="1217"/>
      <c r="R40" s="1217"/>
      <c r="S40" s="256"/>
      <c r="T40" s="256"/>
      <c r="U40" s="256"/>
      <c r="V40" s="256"/>
      <c r="W40" s="1218"/>
      <c r="X40" s="1180"/>
      <c r="Y40" s="1180"/>
      <c r="Z40" s="1180"/>
      <c r="AA40" s="1180"/>
      <c r="AB40" s="1180"/>
      <c r="AC40" s="1180"/>
      <c r="AD40" s="1180"/>
      <c r="AE40" s="1180"/>
      <c r="AF40" s="1180"/>
      <c r="AG40" s="1180"/>
      <c r="AH40" s="1180"/>
      <c r="AI40" s="1180"/>
      <c r="AJ40" s="1180"/>
      <c r="AK40" s="1180"/>
      <c r="AL40" s="1180"/>
      <c r="AM40" s="1180"/>
      <c r="AN40" s="1180"/>
      <c r="AO40" s="1180"/>
      <c r="AP40" s="1180"/>
      <c r="AQ40" s="1180"/>
    </row>
    <row r="41" spans="1:43" s="1857" customFormat="1" ht="17.25" hidden="1" customHeight="1">
      <c r="A41" s="245"/>
      <c r="C41" s="130"/>
      <c r="D41" s="4642"/>
      <c r="E41" s="4644"/>
      <c r="F41" s="4646"/>
      <c r="G41" s="4644"/>
      <c r="H41" s="4649"/>
      <c r="I41" s="4651"/>
      <c r="J41" s="4654"/>
      <c r="K41" s="4636"/>
      <c r="L41" s="1217"/>
      <c r="M41" s="1217"/>
      <c r="N41" s="1217"/>
      <c r="O41" s="1217"/>
      <c r="P41" s="1217"/>
      <c r="Q41" s="1217"/>
      <c r="R41" s="1217"/>
      <c r="S41" s="256"/>
      <c r="T41" s="256"/>
      <c r="U41" s="256"/>
      <c r="V41" s="256"/>
      <c r="W41" s="1218"/>
      <c r="Y41" s="1187"/>
      <c r="Z41" s="1187"/>
      <c r="AA41" s="1187"/>
      <c r="AB41" s="1187"/>
      <c r="AC41" s="1187"/>
      <c r="AD41" s="1187"/>
      <c r="AE41" s="1187"/>
      <c r="AF41" s="1187"/>
      <c r="AG41" s="1187"/>
      <c r="AH41" s="1187"/>
      <c r="AI41" s="1187"/>
      <c r="AJ41" s="1187"/>
      <c r="AK41" s="1187"/>
      <c r="AL41" s="1187"/>
      <c r="AM41" s="1187"/>
      <c r="AN41" s="1187"/>
      <c r="AO41" s="1187"/>
      <c r="AP41" s="1187"/>
      <c r="AQ41" s="1187"/>
    </row>
    <row r="42" spans="1:43" s="1856" customFormat="1" ht="17.25" hidden="1" customHeight="1">
      <c r="A42" s="245"/>
      <c r="C42" s="244"/>
      <c r="D42" s="4642"/>
      <c r="E42" s="4644"/>
      <c r="F42" s="4647"/>
      <c r="G42" s="4644"/>
      <c r="H42" s="1219"/>
      <c r="I42" s="1220"/>
      <c r="J42" s="1220"/>
      <c r="K42" s="1220"/>
      <c r="L42" s="1220"/>
      <c r="M42" s="1220"/>
      <c r="N42" s="1220"/>
      <c r="O42" s="1220"/>
      <c r="P42" s="1220"/>
      <c r="Q42" s="1220"/>
      <c r="R42" s="1220"/>
      <c r="S42" s="1221"/>
      <c r="T42" s="1221"/>
      <c r="U42" s="1221"/>
      <c r="V42" s="1221"/>
      <c r="W42" s="1222"/>
      <c r="X42" s="1180"/>
      <c r="Y42" s="1180"/>
      <c r="Z42" s="1180"/>
      <c r="AA42" s="1180"/>
      <c r="AB42" s="1180"/>
      <c r="AC42" s="1180"/>
      <c r="AD42" s="1180"/>
      <c r="AE42" s="1180"/>
      <c r="AF42" s="1180"/>
      <c r="AG42" s="1180"/>
      <c r="AH42" s="1180"/>
      <c r="AI42" s="1180"/>
      <c r="AJ42" s="1180"/>
      <c r="AK42" s="1180"/>
      <c r="AL42" s="1180"/>
      <c r="AM42" s="1180"/>
      <c r="AN42" s="1180"/>
      <c r="AO42" s="1180"/>
      <c r="AP42" s="1180"/>
      <c r="AQ42" s="1180"/>
    </row>
    <row r="43" spans="1:43" s="1858" customFormat="1" ht="17.25" hidden="1" customHeight="1">
      <c r="A43" s="245"/>
      <c r="C43" s="130"/>
      <c r="D43" s="4664">
        <v>7</v>
      </c>
      <c r="E43" s="4667" t="s">
        <v>249</v>
      </c>
      <c r="F43" s="4645" t="s">
        <v>55</v>
      </c>
      <c r="G43" s="4667"/>
      <c r="H43" s="4648"/>
      <c r="I43" s="4650"/>
      <c r="J43" s="4652"/>
      <c r="K43" s="4635"/>
      <c r="L43" s="4635"/>
      <c r="M43" s="4635"/>
      <c r="N43" s="4637"/>
      <c r="O43" s="4635"/>
      <c r="P43" s="4635"/>
      <c r="Q43" s="4635"/>
      <c r="R43" s="4640"/>
      <c r="S43" s="4635"/>
      <c r="T43" s="1336"/>
      <c r="U43" s="1336"/>
      <c r="V43" s="1335"/>
      <c r="W43" s="1216"/>
      <c r="X43" s="1187"/>
      <c r="Y43" s="1187"/>
      <c r="Z43" s="1187"/>
      <c r="AA43" s="1187"/>
      <c r="AB43" s="1187"/>
      <c r="AC43" s="1187" t="s">
        <v>250</v>
      </c>
      <c r="AD43" s="1187" t="s">
        <v>251</v>
      </c>
      <c r="AE43" s="1187" t="s">
        <v>252</v>
      </c>
      <c r="AF43" s="1187" t="s">
        <v>253</v>
      </c>
      <c r="AG43" s="1187" t="s">
        <v>254</v>
      </c>
      <c r="AH43" s="1187" t="str">
        <f>IF($E$43=0,"",$E$43)</f>
        <v>Плата за услуги по поддержанию резервной тепловой мощности при отсутствии потребления тепловой энергии</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84">
        <f>$I$43</f>
        <v>0</v>
      </c>
      <c r="AO43" s="1187" t="str">
        <f>$I$43&amp;"."&amp;$M$43</f>
        <v>.</v>
      </c>
      <c r="AP43" s="1180" t="str">
        <f>$I$43&amp;"."&amp;$M$43&amp;"."&amp;$Q$43</f>
        <v>..</v>
      </c>
      <c r="AQ43" s="1180" t="str">
        <f>$I$43&amp;"."&amp;$M$43&amp;"."&amp;$Q$43&amp;"."&amp;$U$43</f>
        <v>...</v>
      </c>
    </row>
    <row r="44" spans="1:43" s="1858" customFormat="1" ht="17.25" hidden="1" customHeight="1">
      <c r="A44" s="245"/>
      <c r="C44" s="244"/>
      <c r="D44" s="4665"/>
      <c r="E44" s="4668"/>
      <c r="F44" s="4646"/>
      <c r="G44" s="4668"/>
      <c r="H44" s="4649"/>
      <c r="I44" s="4651"/>
      <c r="J44" s="4653"/>
      <c r="K44" s="4636"/>
      <c r="L44" s="4636"/>
      <c r="M44" s="4636"/>
      <c r="N44" s="4638"/>
      <c r="O44" s="4636"/>
      <c r="P44" s="4636"/>
      <c r="Q44" s="4636"/>
      <c r="R44" s="4639"/>
      <c r="S44" s="4636"/>
      <c r="T44" s="1217"/>
      <c r="U44" s="1217"/>
      <c r="V44" s="1217"/>
      <c r="W44" s="1218"/>
      <c r="X44" s="1180"/>
      <c r="Y44" s="1180"/>
      <c r="Z44" s="1180"/>
      <c r="AA44" s="1180"/>
      <c r="AB44" s="1180"/>
      <c r="AC44" s="1180"/>
      <c r="AD44" s="1180"/>
      <c r="AE44" s="1180"/>
      <c r="AF44" s="1180"/>
      <c r="AG44" s="1180"/>
      <c r="AH44" s="1180"/>
      <c r="AI44" s="1180"/>
      <c r="AJ44" s="1180"/>
      <c r="AK44" s="1180"/>
      <c r="AL44" s="1180"/>
      <c r="AM44" s="1180"/>
      <c r="AN44" s="1180"/>
      <c r="AO44" s="1180"/>
      <c r="AP44" s="1180"/>
      <c r="AQ44" s="1180"/>
    </row>
    <row r="45" spans="1:43" s="1858" customFormat="1" ht="17.25" hidden="1" customHeight="1">
      <c r="A45" s="245"/>
      <c r="C45" s="244"/>
      <c r="D45" s="4665"/>
      <c r="E45" s="4668"/>
      <c r="F45" s="4646"/>
      <c r="G45" s="4668"/>
      <c r="H45" s="4649"/>
      <c r="I45" s="4651"/>
      <c r="J45" s="4654"/>
      <c r="K45" s="4636"/>
      <c r="L45" s="4636"/>
      <c r="M45" s="4636"/>
      <c r="N45" s="4639"/>
      <c r="O45" s="4636"/>
      <c r="P45" s="1334"/>
      <c r="Q45" s="1217"/>
      <c r="R45" s="1217"/>
      <c r="S45" s="256"/>
      <c r="T45" s="256"/>
      <c r="U45" s="256"/>
      <c r="V45" s="256"/>
      <c r="W45" s="1218"/>
      <c r="X45" s="1180"/>
      <c r="Y45" s="1180"/>
      <c r="Z45" s="1180"/>
      <c r="AA45" s="1180"/>
      <c r="AB45" s="1180"/>
      <c r="AC45" s="1180"/>
      <c r="AD45" s="1180"/>
      <c r="AE45" s="1180"/>
      <c r="AF45" s="1180"/>
      <c r="AG45" s="1180"/>
      <c r="AH45" s="1180"/>
      <c r="AI45" s="1180"/>
      <c r="AJ45" s="1180"/>
      <c r="AK45" s="1180"/>
      <c r="AL45" s="1180"/>
      <c r="AM45" s="1180"/>
      <c r="AN45" s="1180"/>
      <c r="AO45" s="1180"/>
      <c r="AP45" s="1180"/>
      <c r="AQ45" s="1180"/>
    </row>
    <row r="46" spans="1:43" s="1857" customFormat="1" ht="17.25" hidden="1" customHeight="1">
      <c r="A46" s="245"/>
      <c r="C46" s="130"/>
      <c r="D46" s="4665"/>
      <c r="E46" s="4668"/>
      <c r="F46" s="4646"/>
      <c r="G46" s="4668"/>
      <c r="H46" s="4649"/>
      <c r="I46" s="4651"/>
      <c r="J46" s="4654"/>
      <c r="K46" s="4636"/>
      <c r="L46" s="1217"/>
      <c r="M46" s="1217"/>
      <c r="N46" s="1217"/>
      <c r="O46" s="1217"/>
      <c r="P46" s="1217"/>
      <c r="Q46" s="1217"/>
      <c r="R46" s="1217"/>
      <c r="S46" s="256"/>
      <c r="T46" s="256"/>
      <c r="U46" s="256"/>
      <c r="V46" s="256"/>
      <c r="W46" s="1218"/>
      <c r="Y46" s="1187"/>
      <c r="Z46" s="1187"/>
      <c r="AA46" s="1187"/>
      <c r="AB46" s="1187"/>
      <c r="AC46" s="1187"/>
      <c r="AD46" s="1187"/>
      <c r="AE46" s="1187"/>
      <c r="AF46" s="1187"/>
      <c r="AG46" s="1187"/>
      <c r="AH46" s="1187"/>
      <c r="AI46" s="1187"/>
      <c r="AJ46" s="1187"/>
      <c r="AK46" s="1187"/>
      <c r="AL46" s="1187"/>
      <c r="AM46" s="1187"/>
      <c r="AN46" s="1187"/>
      <c r="AO46" s="1187"/>
      <c r="AP46" s="1187"/>
      <c r="AQ46" s="1187"/>
    </row>
    <row r="47" spans="1:43" s="1858" customFormat="1" ht="17.25" hidden="1" customHeight="1">
      <c r="A47" s="245"/>
      <c r="C47" s="244"/>
      <c r="D47" s="4666"/>
      <c r="E47" s="4669"/>
      <c r="F47" s="4647"/>
      <c r="G47" s="4669"/>
      <c r="H47" s="1219"/>
      <c r="I47" s="1220"/>
      <c r="J47" s="1220"/>
      <c r="K47" s="1220"/>
      <c r="L47" s="1220"/>
      <c r="M47" s="1220"/>
      <c r="N47" s="1220"/>
      <c r="O47" s="1220"/>
      <c r="P47" s="1220"/>
      <c r="Q47" s="1220"/>
      <c r="R47" s="1220"/>
      <c r="S47" s="1221"/>
      <c r="T47" s="1221"/>
      <c r="U47" s="1221"/>
      <c r="V47" s="1221"/>
      <c r="W47" s="1222"/>
      <c r="X47" s="1180"/>
      <c r="Y47" s="1180"/>
      <c r="Z47" s="1180"/>
      <c r="AA47" s="1180"/>
      <c r="AB47" s="1180"/>
      <c r="AC47" s="1180"/>
      <c r="AD47" s="1180"/>
      <c r="AE47" s="1180"/>
      <c r="AF47" s="1180"/>
      <c r="AG47" s="1180"/>
      <c r="AH47" s="1180"/>
      <c r="AI47" s="1180"/>
      <c r="AJ47" s="1180"/>
      <c r="AK47" s="1180"/>
      <c r="AL47" s="1180"/>
      <c r="AM47" s="1180"/>
      <c r="AN47" s="1180"/>
      <c r="AO47" s="1180"/>
      <c r="AP47" s="1180"/>
      <c r="AQ47" s="1180"/>
    </row>
    <row r="48" spans="1:43" s="1858" customFormat="1" ht="17.25" hidden="1" customHeight="1">
      <c r="A48" s="245"/>
      <c r="C48" s="130"/>
      <c r="D48" s="4641">
        <v>8</v>
      </c>
      <c r="E48" s="4643" t="s">
        <v>255</v>
      </c>
      <c r="F48" s="4645" t="s">
        <v>55</v>
      </c>
      <c r="G48" s="4643"/>
      <c r="H48" s="4648"/>
      <c r="I48" s="4650"/>
      <c r="J48" s="4652"/>
      <c r="K48" s="4635"/>
      <c r="L48" s="4635"/>
      <c r="M48" s="4635"/>
      <c r="N48" s="4637"/>
      <c r="O48" s="4635"/>
      <c r="P48" s="4635"/>
      <c r="Q48" s="4635"/>
      <c r="R48" s="4640"/>
      <c r="S48" s="4635"/>
      <c r="T48" s="1382"/>
      <c r="U48" s="1382"/>
      <c r="V48" s="1384"/>
      <c r="W48" s="1216"/>
      <c r="X48" s="1187"/>
      <c r="Y48" s="1187"/>
      <c r="Z48" s="1187"/>
      <c r="AA48" s="1187"/>
      <c r="AB48" s="1187"/>
      <c r="AC48" s="1187" t="s">
        <v>256</v>
      </c>
      <c r="AD48" s="1187" t="s">
        <v>257</v>
      </c>
      <c r="AE48" s="1187" t="s">
        <v>258</v>
      </c>
      <c r="AF48" s="1187" t="s">
        <v>259</v>
      </c>
      <c r="AG48" s="1187" t="s">
        <v>260</v>
      </c>
      <c r="AH48" s="1187" t="str">
        <f>IF($E$48=0,"",$E$48)</f>
        <v>Плата за подключение (технологическое присоединение) к системе теплоснабжения</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84">
        <f>$I$48</f>
        <v>0</v>
      </c>
      <c r="AO48" s="1187" t="str">
        <f>$I$48&amp;"."&amp;$M$48</f>
        <v>.</v>
      </c>
      <c r="AP48" s="1180" t="str">
        <f>$I$48&amp;"."&amp;$M$48&amp;"."&amp;$Q$48</f>
        <v>..</v>
      </c>
      <c r="AQ48" s="1180" t="str">
        <f>$I$48&amp;"."&amp;$M$48&amp;"."&amp;$Q$48&amp;"."&amp;$U$48</f>
        <v>...</v>
      </c>
    </row>
    <row r="49" spans="1:43" s="1858" customFormat="1" ht="17.25" hidden="1" customHeight="1">
      <c r="A49" s="245"/>
      <c r="C49" s="244"/>
      <c r="D49" s="4641"/>
      <c r="E49" s="4643"/>
      <c r="F49" s="4646"/>
      <c r="G49" s="4643"/>
      <c r="H49" s="4649"/>
      <c r="I49" s="4651"/>
      <c r="J49" s="4653"/>
      <c r="K49" s="4636"/>
      <c r="L49" s="4636"/>
      <c r="M49" s="4636"/>
      <c r="N49" s="4638"/>
      <c r="O49" s="4636"/>
      <c r="P49" s="4636"/>
      <c r="Q49" s="4636"/>
      <c r="R49" s="4639"/>
      <c r="S49" s="4636"/>
      <c r="T49" s="1217"/>
      <c r="U49" s="1217"/>
      <c r="V49" s="1217"/>
      <c r="W49" s="1218"/>
      <c r="X49" s="1180"/>
      <c r="Y49" s="1180"/>
      <c r="Z49" s="1180"/>
      <c r="AA49" s="1180"/>
      <c r="AB49" s="1180"/>
      <c r="AC49" s="1180"/>
      <c r="AD49" s="1180"/>
      <c r="AE49" s="1180"/>
      <c r="AF49" s="1180"/>
      <c r="AG49" s="1180"/>
      <c r="AH49" s="1180"/>
      <c r="AI49" s="1180"/>
      <c r="AJ49" s="1180"/>
      <c r="AK49" s="1180"/>
      <c r="AL49" s="1180"/>
      <c r="AM49" s="1180"/>
      <c r="AN49" s="1180"/>
      <c r="AO49" s="1180"/>
      <c r="AP49" s="1180"/>
      <c r="AQ49" s="1180"/>
    </row>
    <row r="50" spans="1:43" s="1858" customFormat="1" ht="17.25" hidden="1" customHeight="1">
      <c r="A50" s="245"/>
      <c r="C50" s="244"/>
      <c r="D50" s="4642"/>
      <c r="E50" s="4644"/>
      <c r="F50" s="4646"/>
      <c r="G50" s="4644"/>
      <c r="H50" s="4649"/>
      <c r="I50" s="4651"/>
      <c r="J50" s="4654"/>
      <c r="K50" s="4636"/>
      <c r="L50" s="4636"/>
      <c r="M50" s="4636"/>
      <c r="N50" s="4639"/>
      <c r="O50" s="4636"/>
      <c r="P50" s="1383"/>
      <c r="Q50" s="1217"/>
      <c r="R50" s="1217"/>
      <c r="S50" s="256"/>
      <c r="T50" s="256"/>
      <c r="U50" s="256"/>
      <c r="V50" s="256"/>
      <c r="W50" s="1218"/>
      <c r="X50" s="1180"/>
      <c r="Y50" s="1180"/>
      <c r="Z50" s="1180"/>
      <c r="AA50" s="1180"/>
      <c r="AB50" s="1180"/>
      <c r="AC50" s="1180"/>
      <c r="AD50" s="1180"/>
      <c r="AE50" s="1180"/>
      <c r="AF50" s="1180"/>
      <c r="AG50" s="1180"/>
      <c r="AH50" s="1180"/>
      <c r="AI50" s="1180"/>
      <c r="AJ50" s="1180"/>
      <c r="AK50" s="1180"/>
      <c r="AL50" s="1180"/>
      <c r="AM50" s="1180"/>
      <c r="AN50" s="1180"/>
      <c r="AO50" s="1180"/>
      <c r="AP50" s="1180"/>
      <c r="AQ50" s="1180"/>
    </row>
    <row r="51" spans="1:43" s="1857" customFormat="1" ht="17.25" hidden="1" customHeight="1">
      <c r="A51" s="245"/>
      <c r="C51" s="130"/>
      <c r="D51" s="4642"/>
      <c r="E51" s="4644"/>
      <c r="F51" s="4646"/>
      <c r="G51" s="4644"/>
      <c r="H51" s="4649"/>
      <c r="I51" s="4651"/>
      <c r="J51" s="4654"/>
      <c r="K51" s="4636"/>
      <c r="L51" s="1217"/>
      <c r="M51" s="1217"/>
      <c r="N51" s="1217"/>
      <c r="O51" s="1217"/>
      <c r="P51" s="1217"/>
      <c r="Q51" s="1217"/>
      <c r="R51" s="1217"/>
      <c r="S51" s="256"/>
      <c r="T51" s="256"/>
      <c r="U51" s="256"/>
      <c r="V51" s="256"/>
      <c r="W51" s="1218"/>
      <c r="Y51" s="1187"/>
      <c r="Z51" s="1187"/>
      <c r="AA51" s="1187"/>
      <c r="AB51" s="1187"/>
      <c r="AC51" s="1187"/>
      <c r="AD51" s="1187"/>
      <c r="AE51" s="1187"/>
      <c r="AF51" s="1187"/>
      <c r="AG51" s="1187"/>
      <c r="AH51" s="1187"/>
      <c r="AI51" s="1187"/>
      <c r="AJ51" s="1187"/>
      <c r="AK51" s="1187"/>
      <c r="AL51" s="1187"/>
      <c r="AM51" s="1187"/>
      <c r="AN51" s="1187"/>
      <c r="AO51" s="1187"/>
      <c r="AP51" s="1187"/>
      <c r="AQ51" s="1187"/>
    </row>
    <row r="52" spans="1:43" s="1858" customFormat="1" ht="17.25" hidden="1" customHeight="1">
      <c r="A52" s="245"/>
      <c r="C52" s="244"/>
      <c r="D52" s="4642"/>
      <c r="E52" s="4644"/>
      <c r="F52" s="4647"/>
      <c r="G52" s="4644"/>
      <c r="H52" s="1219"/>
      <c r="I52" s="1220"/>
      <c r="J52" s="1220"/>
      <c r="K52" s="1220"/>
      <c r="L52" s="1220"/>
      <c r="M52" s="1220"/>
      <c r="N52" s="1220"/>
      <c r="O52" s="1220"/>
      <c r="P52" s="1220"/>
      <c r="Q52" s="1220"/>
      <c r="R52" s="1220"/>
      <c r="S52" s="1221"/>
      <c r="T52" s="1221"/>
      <c r="U52" s="1221"/>
      <c r="V52" s="1221"/>
      <c r="W52" s="1222"/>
      <c r="X52" s="1180"/>
      <c r="Y52" s="1180"/>
      <c r="Z52" s="1180"/>
      <c r="AA52" s="1180"/>
      <c r="AB52" s="1180"/>
      <c r="AC52" s="1180"/>
      <c r="AD52" s="1180"/>
      <c r="AE52" s="1180"/>
      <c r="AF52" s="1180"/>
      <c r="AG52" s="1180"/>
      <c r="AH52" s="1180"/>
      <c r="AI52" s="1180"/>
      <c r="AJ52" s="1180"/>
      <c r="AK52" s="1180"/>
      <c r="AL52" s="1180"/>
      <c r="AM52" s="1180"/>
      <c r="AN52" s="1180"/>
      <c r="AO52" s="1180"/>
      <c r="AP52" s="1180"/>
      <c r="AQ52" s="1180"/>
    </row>
    <row r="53" spans="1:43" ht="11.25" hidden="1" customHeight="1"/>
    <row r="54" spans="1:43" ht="11.25" hidden="1" customHeight="1">
      <c r="E54" s="4672" t="s">
        <v>261</v>
      </c>
      <c r="F54" s="4672"/>
      <c r="G54" s="4672"/>
      <c r="H54" s="4672"/>
      <c r="I54" s="4672"/>
      <c r="J54" s="4672"/>
      <c r="K54" s="4672"/>
      <c r="L54" s="4672"/>
      <c r="M54" s="4672"/>
      <c r="N54" s="4672"/>
      <c r="O54" s="4672"/>
      <c r="P54" s="4672"/>
      <c r="Q54" s="4672"/>
      <c r="R54" s="4672"/>
      <c r="S54" s="4672"/>
      <c r="T54" s="4672"/>
      <c r="U54" s="4672"/>
      <c r="V54" s="4672"/>
      <c r="W54" s="4672"/>
    </row>
    <row r="55" spans="1:43" ht="36.75" hidden="1" customHeight="1">
      <c r="E55" s="4670" t="s">
        <v>262</v>
      </c>
      <c r="F55" s="4670"/>
      <c r="G55" s="4671"/>
      <c r="H55" s="4671"/>
      <c r="I55" s="4671"/>
      <c r="J55" s="4671"/>
      <c r="K55" s="4671"/>
      <c r="L55" s="4671"/>
      <c r="M55" s="4671"/>
      <c r="N55" s="4671"/>
      <c r="O55" s="4671"/>
      <c r="P55" s="4671"/>
      <c r="Q55" s="4671"/>
      <c r="R55" s="4671"/>
      <c r="S55" s="4671"/>
      <c r="T55" s="4671"/>
      <c r="U55" s="4671"/>
      <c r="V55" s="4671"/>
      <c r="W55" s="4671"/>
    </row>
    <row r="56" spans="1:43" ht="28.5" hidden="1" customHeight="1">
      <c r="E56" s="4670" t="s">
        <v>263</v>
      </c>
      <c r="F56" s="4670"/>
      <c r="G56" s="4671"/>
      <c r="H56" s="4671"/>
      <c r="I56" s="4671"/>
      <c r="J56" s="4671"/>
      <c r="K56" s="4671"/>
      <c r="L56" s="4671"/>
      <c r="M56" s="4671"/>
      <c r="N56" s="4671"/>
      <c r="O56" s="4671"/>
      <c r="P56" s="4671"/>
      <c r="Q56" s="4671"/>
      <c r="R56" s="4671"/>
      <c r="S56" s="4671"/>
      <c r="T56" s="4671"/>
      <c r="U56" s="4671"/>
      <c r="V56" s="4671"/>
      <c r="W56" s="4671"/>
    </row>
    <row r="57" spans="1:43" ht="27" hidden="1" customHeight="1">
      <c r="E57" s="4670" t="s">
        <v>264</v>
      </c>
      <c r="F57" s="4670"/>
      <c r="G57" s="4671"/>
      <c r="H57" s="4671"/>
      <c r="I57" s="4671"/>
      <c r="J57" s="4671"/>
      <c r="K57" s="4671"/>
      <c r="L57" s="4671"/>
      <c r="M57" s="4671"/>
      <c r="N57" s="4671"/>
      <c r="O57" s="4671"/>
      <c r="P57" s="4671"/>
      <c r="Q57" s="4671"/>
      <c r="R57" s="4671"/>
      <c r="S57" s="4671"/>
      <c r="T57" s="4671"/>
      <c r="U57" s="4671"/>
      <c r="V57" s="4671"/>
      <c r="W57" s="4671"/>
    </row>
    <row r="58" spans="1:43" ht="17.25" hidden="1" customHeight="1">
      <c r="E58" s="4670" t="s">
        <v>265</v>
      </c>
      <c r="F58" s="4670"/>
      <c r="G58" s="4671"/>
      <c r="H58" s="4671"/>
      <c r="I58" s="4671"/>
      <c r="J58" s="4671"/>
      <c r="K58" s="4671"/>
      <c r="L58" s="4671"/>
      <c r="M58" s="4671"/>
      <c r="N58" s="4671"/>
      <c r="O58" s="4671"/>
      <c r="P58" s="4671"/>
      <c r="Q58" s="4671"/>
      <c r="R58" s="4671"/>
      <c r="S58" s="4671"/>
      <c r="T58" s="4671"/>
      <c r="U58" s="4671"/>
      <c r="V58" s="4671"/>
      <c r="W58" s="4671"/>
    </row>
    <row r="59" spans="1:43" ht="15" hidden="1" customHeight="1">
      <c r="E59" s="267"/>
      <c r="F59" s="1205"/>
      <c r="G59" s="79"/>
      <c r="H59" s="79"/>
      <c r="I59" s="79"/>
      <c r="J59" s="79"/>
      <c r="K59" s="79"/>
      <c r="L59" s="79"/>
      <c r="M59" s="79"/>
      <c r="N59" s="79"/>
      <c r="O59" s="79"/>
      <c r="P59" s="79"/>
      <c r="Q59" s="79"/>
      <c r="R59" s="79"/>
      <c r="S59" s="79"/>
      <c r="T59" s="79"/>
      <c r="U59" s="79"/>
      <c r="V59" s="79"/>
      <c r="W59" s="79"/>
    </row>
    <row r="60" spans="1:43" ht="15" hidden="1" customHeight="1">
      <c r="E60" s="4672" t="s">
        <v>266</v>
      </c>
      <c r="F60" s="4672"/>
      <c r="G60" s="4672"/>
      <c r="H60" s="4672"/>
      <c r="I60" s="4672"/>
      <c r="J60" s="4672"/>
      <c r="K60" s="4672"/>
      <c r="L60" s="4672"/>
      <c r="M60" s="4672"/>
      <c r="N60" s="4672"/>
      <c r="O60" s="4672"/>
      <c r="P60" s="4672"/>
      <c r="Q60" s="4672"/>
      <c r="R60" s="4672"/>
      <c r="S60" s="4672"/>
      <c r="T60" s="4672"/>
      <c r="U60" s="4672"/>
      <c r="V60" s="4672"/>
      <c r="W60" s="4672"/>
    </row>
    <row r="61" spans="1:43" ht="17.25" hidden="1" customHeight="1">
      <c r="E61" s="4670" t="s">
        <v>267</v>
      </c>
      <c r="F61" s="4670"/>
      <c r="G61" s="4671"/>
      <c r="H61" s="4671"/>
      <c r="I61" s="4671"/>
      <c r="J61" s="4671"/>
      <c r="K61" s="4671"/>
      <c r="L61" s="4671"/>
      <c r="M61" s="4671"/>
      <c r="N61" s="4671"/>
      <c r="O61" s="4671"/>
      <c r="P61" s="4671"/>
      <c r="Q61" s="4671"/>
      <c r="R61" s="4671"/>
      <c r="S61" s="4671"/>
      <c r="T61" s="4671"/>
      <c r="U61" s="4671"/>
      <c r="V61" s="4671"/>
      <c r="W61" s="4671"/>
    </row>
    <row r="62" spans="1:43" ht="17.25" hidden="1" customHeight="1">
      <c r="E62" s="4670" t="s">
        <v>268</v>
      </c>
      <c r="F62" s="4670"/>
      <c r="G62" s="4671"/>
      <c r="H62" s="4671"/>
      <c r="I62" s="4671"/>
      <c r="J62" s="4671"/>
      <c r="K62" s="4671"/>
      <c r="L62" s="4671"/>
      <c r="M62" s="4671"/>
      <c r="N62" s="4671"/>
      <c r="O62" s="4671"/>
      <c r="P62" s="4671"/>
      <c r="Q62" s="4671"/>
      <c r="R62" s="4671"/>
      <c r="S62" s="4671"/>
      <c r="T62" s="4671"/>
      <c r="U62" s="4671"/>
      <c r="V62" s="4671"/>
      <c r="W62" s="4671"/>
    </row>
    <row r="63" spans="1:43" s="1859" customFormat="1" ht="11.25" hidden="1" customHeight="1">
      <c r="A63" s="195"/>
      <c r="B63" s="195"/>
      <c r="Y63" s="1180"/>
      <c r="Z63" s="1180"/>
      <c r="AA63" s="1180"/>
      <c r="AB63" s="1180"/>
      <c r="AC63" s="1180"/>
      <c r="AD63" s="1180"/>
      <c r="AE63" s="1180"/>
      <c r="AF63" s="1180"/>
      <c r="AG63" s="1180"/>
      <c r="AH63" s="1180"/>
      <c r="AI63" s="1180"/>
      <c r="AJ63" s="1180"/>
      <c r="AK63" s="1180"/>
      <c r="AL63" s="1180"/>
      <c r="AM63" s="1180"/>
      <c r="AN63" s="1180"/>
      <c r="AO63" s="1180"/>
      <c r="AP63" s="1180"/>
      <c r="AQ63" s="1180"/>
    </row>
    <row r="64" spans="1:43" s="1859" customFormat="1" ht="17.25" hidden="1" customHeight="1">
      <c r="A64" s="245"/>
      <c r="C64" s="130"/>
      <c r="D64" s="4641">
        <v>1</v>
      </c>
      <c r="E64" s="4643" t="s">
        <v>269</v>
      </c>
      <c r="F64" s="4645" t="s">
        <v>55</v>
      </c>
      <c r="G64" s="4643"/>
      <c r="H64" s="4648"/>
      <c r="I64" s="4650"/>
      <c r="J64" s="4652"/>
      <c r="K64" s="4635"/>
      <c r="L64" s="4635"/>
      <c r="M64" s="4635"/>
      <c r="N64" s="4637"/>
      <c r="O64" s="4635"/>
      <c r="P64" s="4635"/>
      <c r="Q64" s="4635"/>
      <c r="R64" s="4640"/>
      <c r="S64" s="4635"/>
      <c r="T64" s="1382"/>
      <c r="U64" s="1382"/>
      <c r="V64" s="1384"/>
      <c r="W64" s="1216"/>
      <c r="Y64" s="1187"/>
      <c r="Z64" s="1187"/>
      <c r="AA64" s="1187"/>
      <c r="AB64" s="1187"/>
      <c r="AC64" s="1187" t="s">
        <v>270</v>
      </c>
      <c r="AD64" s="1187" t="s">
        <v>271</v>
      </c>
      <c r="AE64" s="1187" t="s">
        <v>272</v>
      </c>
      <c r="AF64" s="1187" t="s">
        <v>273</v>
      </c>
      <c r="AG64" s="1187"/>
      <c r="AH64" s="1187" t="str">
        <f>IF($E$64=0,"",$E$64)</f>
        <v>Тариф на питьевую воду (питьевое водоснабжение)</v>
      </c>
      <c r="AI64" s="1187" t="str">
        <f>IF($G$64=0,"",$G$64)</f>
        <v/>
      </c>
      <c r="AJ64" s="1187" t="str">
        <f>IF($J$64=0,"",$J$64)</f>
        <v/>
      </c>
      <c r="AK64" s="1187" t="str">
        <f>IF($K$64="нет","без дифференциации",IF($N$64=0,"",$N$64))</f>
        <v/>
      </c>
      <c r="AL64" s="1187" t="str">
        <f>IF($O$64="нет","без дифференциации",IF($R$64=0,"",$R$64))</f>
        <v/>
      </c>
      <c r="AM64" s="1187" t="str">
        <f>IF($S$64="нет","без дифференциации",IF($V$64=0,"",$V$64))</f>
        <v/>
      </c>
      <c r="AN64" s="1187">
        <f>$I$64</f>
        <v>0</v>
      </c>
      <c r="AO64" s="1187" t="str">
        <f>$I$64&amp;"."&amp;$M$64</f>
        <v>.</v>
      </c>
      <c r="AP64" s="1187" t="str">
        <f>$I$64&amp;"."&amp;$M$64&amp;"."&amp;$Q$64</f>
        <v>..</v>
      </c>
      <c r="AQ64" s="1187" t="str">
        <f>$I$64&amp;"."&amp;$M$64&amp;"."&amp;$Q$64&amp;"."&amp;$U$64</f>
        <v>...</v>
      </c>
    </row>
    <row r="65" spans="1:43" s="1859" customFormat="1" ht="17.25" hidden="1" customHeight="1">
      <c r="A65" s="245"/>
      <c r="C65" s="244"/>
      <c r="D65" s="4641"/>
      <c r="E65" s="4643"/>
      <c r="F65" s="4646"/>
      <c r="G65" s="4643"/>
      <c r="H65" s="4649"/>
      <c r="I65" s="4651"/>
      <c r="J65" s="4653"/>
      <c r="K65" s="4636"/>
      <c r="L65" s="4636"/>
      <c r="M65" s="4636"/>
      <c r="N65" s="4638"/>
      <c r="O65" s="4636"/>
      <c r="P65" s="4636"/>
      <c r="Q65" s="4636"/>
      <c r="R65" s="4639"/>
      <c r="S65" s="4636"/>
      <c r="T65" s="1217"/>
      <c r="U65" s="1217"/>
      <c r="V65" s="1217"/>
      <c r="W65" s="1218"/>
      <c r="Y65" s="1180"/>
      <c r="Z65" s="1180"/>
      <c r="AA65" s="1180"/>
      <c r="AB65" s="1180"/>
      <c r="AC65" s="1180"/>
      <c r="AD65" s="1180"/>
      <c r="AE65" s="1180"/>
      <c r="AF65" s="1180"/>
      <c r="AG65" s="1180"/>
      <c r="AH65" s="1180"/>
      <c r="AI65" s="1180"/>
      <c r="AJ65" s="1180"/>
      <c r="AK65" s="1180"/>
      <c r="AL65" s="1180"/>
      <c r="AM65" s="1180"/>
      <c r="AN65" s="1180"/>
      <c r="AO65" s="1180"/>
      <c r="AP65" s="1180"/>
      <c r="AQ65" s="1180"/>
    </row>
    <row r="66" spans="1:43" s="1860" customFormat="1" ht="17.25" hidden="1" customHeight="1">
      <c r="A66" s="245"/>
      <c r="C66" s="130"/>
      <c r="D66" s="4641"/>
      <c r="E66" s="4643"/>
      <c r="F66" s="4646"/>
      <c r="G66" s="4643"/>
      <c r="H66" s="4649"/>
      <c r="I66" s="4651"/>
      <c r="J66" s="4654"/>
      <c r="K66" s="4636"/>
      <c r="L66" s="4636"/>
      <c r="M66" s="4636"/>
      <c r="N66" s="4639"/>
      <c r="O66" s="4636"/>
      <c r="P66" s="1383"/>
      <c r="Q66" s="1217"/>
      <c r="R66" s="1217"/>
      <c r="S66" s="256"/>
      <c r="T66" s="256"/>
      <c r="U66" s="256"/>
      <c r="V66" s="256"/>
      <c r="W66" s="1218"/>
      <c r="Y66" s="1187"/>
      <c r="Z66" s="1187"/>
      <c r="AA66" s="1187"/>
      <c r="AB66" s="1187"/>
      <c r="AC66" s="1187"/>
      <c r="AD66" s="1187"/>
      <c r="AE66" s="1187"/>
      <c r="AF66" s="1187"/>
      <c r="AG66" s="1187"/>
      <c r="AH66" s="1187"/>
      <c r="AI66" s="1187"/>
      <c r="AJ66" s="1187"/>
      <c r="AK66" s="1187"/>
      <c r="AL66" s="1187"/>
      <c r="AM66" s="1187"/>
      <c r="AN66" s="1187"/>
      <c r="AO66" s="1187"/>
      <c r="AP66" s="1187"/>
      <c r="AQ66" s="1187"/>
    </row>
    <row r="67" spans="1:43" s="1860" customFormat="1" ht="17.25" hidden="1" customHeight="1">
      <c r="A67" s="245"/>
      <c r="C67" s="244"/>
      <c r="D67" s="4641"/>
      <c r="E67" s="4643"/>
      <c r="F67" s="4646"/>
      <c r="G67" s="4643"/>
      <c r="H67" s="4649"/>
      <c r="I67" s="4651"/>
      <c r="J67" s="4654"/>
      <c r="K67" s="4636"/>
      <c r="L67" s="1217"/>
      <c r="M67" s="1217"/>
      <c r="N67" s="1217"/>
      <c r="O67" s="1217"/>
      <c r="P67" s="1217"/>
      <c r="Q67" s="1217"/>
      <c r="R67" s="1217"/>
      <c r="S67" s="256"/>
      <c r="T67" s="256"/>
      <c r="U67" s="256"/>
      <c r="V67" s="256"/>
      <c r="W67" s="1218"/>
      <c r="Y67" s="1180"/>
      <c r="Z67" s="1180"/>
      <c r="AA67" s="1180"/>
      <c r="AB67" s="1180"/>
      <c r="AC67" s="1180"/>
      <c r="AD67" s="1180"/>
      <c r="AE67" s="1180"/>
      <c r="AF67" s="1180"/>
      <c r="AG67" s="1180"/>
      <c r="AH67" s="1180"/>
      <c r="AI67" s="1180"/>
      <c r="AJ67" s="1180"/>
      <c r="AK67" s="1180"/>
      <c r="AL67" s="1180"/>
      <c r="AM67" s="1180"/>
      <c r="AN67" s="1180"/>
      <c r="AO67" s="1180"/>
      <c r="AP67" s="1180"/>
      <c r="AQ67" s="1180"/>
    </row>
    <row r="68" spans="1:43" s="1859" customFormat="1" ht="17.25" hidden="1" customHeight="1">
      <c r="A68" s="245"/>
      <c r="C68" s="244"/>
      <c r="D68" s="4642"/>
      <c r="E68" s="4644"/>
      <c r="F68" s="4647"/>
      <c r="G68" s="4644"/>
      <c r="H68" s="1219"/>
      <c r="I68" s="1220"/>
      <c r="J68" s="1220"/>
      <c r="K68" s="1220"/>
      <c r="L68" s="1220"/>
      <c r="M68" s="1220"/>
      <c r="N68" s="1220"/>
      <c r="O68" s="1220"/>
      <c r="P68" s="1220"/>
      <c r="Q68" s="1220"/>
      <c r="R68" s="1220"/>
      <c r="S68" s="1221"/>
      <c r="T68" s="1221"/>
      <c r="U68" s="1221"/>
      <c r="V68" s="1221"/>
      <c r="W68" s="1222"/>
      <c r="Y68" s="1180"/>
      <c r="Z68" s="1180"/>
      <c r="AA68" s="1180"/>
      <c r="AB68" s="1180"/>
      <c r="AC68" s="1180"/>
      <c r="AD68" s="1180"/>
      <c r="AE68" s="1180"/>
      <c r="AF68" s="1180"/>
      <c r="AG68" s="1180"/>
      <c r="AH68" s="1180"/>
      <c r="AI68" s="1180"/>
      <c r="AJ68" s="1180"/>
      <c r="AK68" s="1180"/>
      <c r="AL68" s="1180"/>
      <c r="AM68" s="1180"/>
      <c r="AN68" s="1180"/>
      <c r="AO68" s="1180"/>
      <c r="AP68" s="1180"/>
      <c r="AQ68" s="1180"/>
    </row>
    <row r="69" spans="1:43" s="1859" customFormat="1" ht="17.25" hidden="1" customHeight="1">
      <c r="A69" s="245"/>
      <c r="C69" s="130"/>
      <c r="D69" s="4641">
        <v>2</v>
      </c>
      <c r="E69" s="4643" t="s">
        <v>274</v>
      </c>
      <c r="F69" s="4645" t="s">
        <v>55</v>
      </c>
      <c r="G69" s="4643"/>
      <c r="H69" s="4648"/>
      <c r="I69" s="4650"/>
      <c r="J69" s="4652"/>
      <c r="K69" s="4635"/>
      <c r="L69" s="4635"/>
      <c r="M69" s="4635"/>
      <c r="N69" s="4637"/>
      <c r="O69" s="4635"/>
      <c r="P69" s="4635"/>
      <c r="Q69" s="4635"/>
      <c r="R69" s="4640"/>
      <c r="S69" s="4635"/>
      <c r="T69" s="1358"/>
      <c r="U69" s="1358"/>
      <c r="V69" s="1360"/>
      <c r="W69" s="1216"/>
      <c r="X69" s="1187"/>
      <c r="Y69" s="1187"/>
      <c r="Z69" s="1187"/>
      <c r="AA69" s="1187"/>
      <c r="AB69" s="1187"/>
      <c r="AC69" s="1187" t="s">
        <v>275</v>
      </c>
      <c r="AD69" s="1187" t="s">
        <v>276</v>
      </c>
      <c r="AE69" s="1187" t="s">
        <v>277</v>
      </c>
      <c r="AF69" s="1187" t="s">
        <v>278</v>
      </c>
      <c r="AG69" s="1187"/>
      <c r="AH69" s="1187" t="str">
        <f>IF($E$69=0,"",$E$69)</f>
        <v>Тариф на техническую воду</v>
      </c>
      <c r="AI69" s="1187" t="str">
        <f>IF($G$69=0,"",$G$69)</f>
        <v/>
      </c>
      <c r="AJ69" s="1187" t="str">
        <f>IF($J$69=0,"",$J$69)</f>
        <v/>
      </c>
      <c r="AK69" s="1187" t="str">
        <f>IF($K$69="нет","без дифференциации",IF($N$69=0,"",$N$69))</f>
        <v/>
      </c>
      <c r="AL69" s="1187" t="str">
        <f>IF($O$69="нет","без дифференциации",IF($R$69=0,"",$R$69))</f>
        <v/>
      </c>
      <c r="AM69" s="1187" t="str">
        <f>IF($S$69="нет","без дифференциации",IF($V$69=0,"",$V$69))</f>
        <v/>
      </c>
      <c r="AN69" s="1684">
        <f>$I$69</f>
        <v>0</v>
      </c>
      <c r="AO69" s="1187" t="str">
        <f>$I$69&amp;"."&amp;$M$69</f>
        <v>.</v>
      </c>
      <c r="AP69" s="1180" t="str">
        <f>$I$69&amp;"."&amp;$M$69&amp;"."&amp;$Q$69</f>
        <v>..</v>
      </c>
      <c r="AQ69" s="1180" t="str">
        <f>$I$69&amp;"."&amp;$M$69&amp;"."&amp;$Q$69&amp;"."&amp;$U$69</f>
        <v>...</v>
      </c>
    </row>
    <row r="70" spans="1:43" s="1859" customFormat="1" ht="17.25" hidden="1" customHeight="1">
      <c r="A70" s="245"/>
      <c r="C70" s="244"/>
      <c r="D70" s="4641"/>
      <c r="E70" s="4643"/>
      <c r="F70" s="4646"/>
      <c r="G70" s="4643"/>
      <c r="H70" s="4649"/>
      <c r="I70" s="4651"/>
      <c r="J70" s="4653"/>
      <c r="K70" s="4636"/>
      <c r="L70" s="4636"/>
      <c r="M70" s="4636"/>
      <c r="N70" s="4638"/>
      <c r="O70" s="4636"/>
      <c r="P70" s="4636"/>
      <c r="Q70" s="4636"/>
      <c r="R70" s="4639"/>
      <c r="S70" s="4636"/>
      <c r="T70" s="1217"/>
      <c r="U70" s="1217"/>
      <c r="V70" s="1217"/>
      <c r="W70" s="1218"/>
      <c r="X70" s="1180"/>
      <c r="Y70" s="1180"/>
      <c r="Z70" s="1180"/>
      <c r="AA70" s="1180"/>
      <c r="AB70" s="1180"/>
      <c r="AC70" s="1180"/>
      <c r="AD70" s="1180"/>
      <c r="AE70" s="1180"/>
      <c r="AF70" s="1180"/>
      <c r="AG70" s="1180"/>
      <c r="AH70" s="1180"/>
      <c r="AI70" s="1180"/>
      <c r="AJ70" s="1180"/>
      <c r="AK70" s="1180"/>
      <c r="AL70" s="1180"/>
      <c r="AM70" s="1180"/>
      <c r="AN70" s="1180"/>
      <c r="AO70" s="1180"/>
      <c r="AP70" s="1180"/>
      <c r="AQ70" s="1180"/>
    </row>
    <row r="71" spans="1:43" s="1859" customFormat="1" ht="17.25" hidden="1" customHeight="1">
      <c r="A71" s="245"/>
      <c r="C71" s="244"/>
      <c r="D71" s="4642"/>
      <c r="E71" s="4644"/>
      <c r="F71" s="4646"/>
      <c r="G71" s="4644"/>
      <c r="H71" s="4649"/>
      <c r="I71" s="4651"/>
      <c r="J71" s="4654"/>
      <c r="K71" s="4636"/>
      <c r="L71" s="4636"/>
      <c r="M71" s="4636"/>
      <c r="N71" s="4639"/>
      <c r="O71" s="4636"/>
      <c r="P71" s="1359"/>
      <c r="Q71" s="1217"/>
      <c r="R71" s="1217"/>
      <c r="S71" s="256"/>
      <c r="T71" s="256"/>
      <c r="U71" s="256"/>
      <c r="V71" s="256"/>
      <c r="W71" s="1218"/>
      <c r="X71" s="1180"/>
      <c r="Y71" s="1180"/>
      <c r="Z71" s="1180"/>
      <c r="AA71" s="1180"/>
      <c r="AB71" s="1180"/>
      <c r="AC71" s="1180"/>
      <c r="AD71" s="1180"/>
      <c r="AE71" s="1180"/>
      <c r="AF71" s="1180"/>
      <c r="AG71" s="1180"/>
      <c r="AH71" s="1180"/>
      <c r="AI71" s="1180"/>
      <c r="AJ71" s="1180"/>
      <c r="AK71" s="1180"/>
      <c r="AL71" s="1180"/>
      <c r="AM71" s="1180"/>
      <c r="AN71" s="1180"/>
      <c r="AO71" s="1180"/>
      <c r="AP71" s="1180"/>
      <c r="AQ71" s="1180"/>
    </row>
    <row r="72" spans="1:43" s="1859" customFormat="1" ht="17.25" hidden="1" customHeight="1">
      <c r="A72" s="245"/>
      <c r="C72" s="244"/>
      <c r="D72" s="4642"/>
      <c r="E72" s="4644"/>
      <c r="F72" s="4646"/>
      <c r="G72" s="4644"/>
      <c r="H72" s="4649"/>
      <c r="I72" s="4651"/>
      <c r="J72" s="4654"/>
      <c r="K72" s="4636"/>
      <c r="L72" s="1217"/>
      <c r="M72" s="1217"/>
      <c r="N72" s="1217"/>
      <c r="O72" s="1217"/>
      <c r="P72" s="1217"/>
      <c r="Q72" s="1217"/>
      <c r="R72" s="1217"/>
      <c r="S72" s="256"/>
      <c r="T72" s="256"/>
      <c r="U72" s="256"/>
      <c r="V72" s="256"/>
      <c r="W72" s="1218"/>
      <c r="X72" s="1180"/>
      <c r="Y72" s="1180"/>
      <c r="Z72" s="1180"/>
      <c r="AA72" s="1180"/>
      <c r="AB72" s="1180"/>
      <c r="AC72" s="1180"/>
      <c r="AD72" s="1180"/>
      <c r="AE72" s="1180"/>
      <c r="AF72" s="1180"/>
      <c r="AG72" s="1180"/>
      <c r="AH72" s="1180"/>
      <c r="AI72" s="1180"/>
      <c r="AJ72" s="1180"/>
      <c r="AK72" s="1180"/>
      <c r="AL72" s="1180"/>
      <c r="AM72" s="1180"/>
      <c r="AN72" s="1180"/>
      <c r="AO72" s="1180"/>
      <c r="AP72" s="1180"/>
      <c r="AQ72" s="1180"/>
    </row>
    <row r="73" spans="1:43" s="1859" customFormat="1" ht="17.25" hidden="1" customHeight="1">
      <c r="A73" s="245"/>
      <c r="C73" s="244"/>
      <c r="D73" s="4642"/>
      <c r="E73" s="4644"/>
      <c r="F73" s="4647"/>
      <c r="G73" s="4644"/>
      <c r="H73" s="1219"/>
      <c r="I73" s="1220"/>
      <c r="J73" s="1220"/>
      <c r="K73" s="1220"/>
      <c r="L73" s="1220"/>
      <c r="M73" s="1220"/>
      <c r="N73" s="1220"/>
      <c r="O73" s="1220"/>
      <c r="P73" s="1220"/>
      <c r="Q73" s="1220"/>
      <c r="R73" s="1220"/>
      <c r="S73" s="1221"/>
      <c r="T73" s="1221"/>
      <c r="U73" s="1221"/>
      <c r="V73" s="1221"/>
      <c r="W73" s="1222"/>
      <c r="X73" s="1180"/>
      <c r="Y73" s="1180"/>
      <c r="Z73" s="1180"/>
      <c r="AA73" s="1180"/>
      <c r="AB73" s="1180"/>
      <c r="AC73" s="1180"/>
      <c r="AD73" s="1180"/>
      <c r="AE73" s="1180"/>
      <c r="AF73" s="1180"/>
      <c r="AG73" s="1180"/>
      <c r="AH73" s="1180"/>
      <c r="AI73" s="1180"/>
      <c r="AJ73" s="1180"/>
      <c r="AK73" s="1180"/>
      <c r="AL73" s="1180"/>
      <c r="AM73" s="1180"/>
      <c r="AN73" s="1180"/>
      <c r="AO73" s="1180"/>
      <c r="AP73" s="1180"/>
      <c r="AQ73" s="1180"/>
    </row>
    <row r="74" spans="1:43" s="1859" customFormat="1" ht="17.25" hidden="1" customHeight="1">
      <c r="A74" s="245"/>
      <c r="C74" s="130"/>
      <c r="D74" s="4641">
        <v>3</v>
      </c>
      <c r="E74" s="4643" t="s">
        <v>279</v>
      </c>
      <c r="F74" s="4645" t="s">
        <v>55</v>
      </c>
      <c r="G74" s="4643"/>
      <c r="H74" s="4648"/>
      <c r="I74" s="4650"/>
      <c r="J74" s="4652"/>
      <c r="K74" s="4635"/>
      <c r="L74" s="4635"/>
      <c r="M74" s="4635"/>
      <c r="N74" s="4637"/>
      <c r="O74" s="4635"/>
      <c r="P74" s="4635"/>
      <c r="Q74" s="4635"/>
      <c r="R74" s="4640"/>
      <c r="S74" s="4635"/>
      <c r="T74" s="1358"/>
      <c r="U74" s="1358"/>
      <c r="V74" s="1360"/>
      <c r="W74" s="1216"/>
      <c r="X74" s="1187"/>
      <c r="Y74" s="1187"/>
      <c r="Z74" s="1187"/>
      <c r="AA74" s="1187"/>
      <c r="AB74" s="1187"/>
      <c r="AC74" s="1187" t="s">
        <v>280</v>
      </c>
      <c r="AD74" s="1187" t="s">
        <v>281</v>
      </c>
      <c r="AE74" s="1187" t="s">
        <v>282</v>
      </c>
      <c r="AF74" s="1187" t="s">
        <v>283</v>
      </c>
      <c r="AG74" s="1187"/>
      <c r="AH74" s="1187" t="str">
        <f>IF($E$74=0,"",$E$74)</f>
        <v>Тариф на транспортировку воды</v>
      </c>
      <c r="AI74" s="1187" t="str">
        <f>IF($G$74=0,"",$G$74)</f>
        <v/>
      </c>
      <c r="AJ74" s="1187" t="str">
        <f>IF($J$74=0,"",$J$74)</f>
        <v/>
      </c>
      <c r="AK74" s="1187" t="str">
        <f>IF($K$74="нет","без дифференциации",IF($N$74=0,"",$N$74))</f>
        <v/>
      </c>
      <c r="AL74" s="1187" t="str">
        <f>IF($O$74="нет","без дифференциации",IF($R$74=0,"",$R$74))</f>
        <v/>
      </c>
      <c r="AM74" s="1187" t="str">
        <f>IF($S$74="нет","без дифференциации",IF($V$74=0,"",$V$74))</f>
        <v/>
      </c>
      <c r="AN74" s="1684">
        <f>$I$74</f>
        <v>0</v>
      </c>
      <c r="AO74" s="1187" t="str">
        <f>$I$74&amp;"."&amp;$M$74</f>
        <v>.</v>
      </c>
      <c r="AP74" s="1180" t="str">
        <f>$I$74&amp;"."&amp;$M$74&amp;"."&amp;$Q$74</f>
        <v>..</v>
      </c>
      <c r="AQ74" s="1180" t="str">
        <f>$I$74&amp;"."&amp;$M$74&amp;"."&amp;$Q$74&amp;"."&amp;$U$74</f>
        <v>...</v>
      </c>
    </row>
    <row r="75" spans="1:43" s="1859" customFormat="1" ht="17.25" hidden="1" customHeight="1">
      <c r="A75" s="245"/>
      <c r="C75" s="244"/>
      <c r="D75" s="4641"/>
      <c r="E75" s="4643"/>
      <c r="F75" s="4646"/>
      <c r="G75" s="4643"/>
      <c r="H75" s="4649"/>
      <c r="I75" s="4651"/>
      <c r="J75" s="4653"/>
      <c r="K75" s="4636"/>
      <c r="L75" s="4636"/>
      <c r="M75" s="4636"/>
      <c r="N75" s="4638"/>
      <c r="O75" s="4636"/>
      <c r="P75" s="4636"/>
      <c r="Q75" s="4636"/>
      <c r="R75" s="4639"/>
      <c r="S75" s="4636"/>
      <c r="T75" s="1217"/>
      <c r="U75" s="1217"/>
      <c r="V75" s="1217"/>
      <c r="W75" s="1218"/>
      <c r="X75" s="1180"/>
      <c r="Y75" s="1180"/>
      <c r="Z75" s="1180"/>
      <c r="AA75" s="1180"/>
      <c r="AB75" s="1180"/>
      <c r="AC75" s="1180"/>
      <c r="AD75" s="1180"/>
      <c r="AE75" s="1180"/>
      <c r="AF75" s="1180"/>
      <c r="AG75" s="1180"/>
      <c r="AH75" s="1180"/>
      <c r="AI75" s="1180"/>
      <c r="AJ75" s="1180"/>
      <c r="AK75" s="1180"/>
      <c r="AL75" s="1180"/>
      <c r="AM75" s="1180"/>
      <c r="AN75" s="1180"/>
      <c r="AO75" s="1180"/>
      <c r="AP75" s="1180"/>
      <c r="AQ75" s="1180"/>
    </row>
    <row r="76" spans="1:43" s="1859" customFormat="1" ht="17.25" hidden="1" customHeight="1">
      <c r="A76" s="245"/>
      <c r="C76" s="244"/>
      <c r="D76" s="4642"/>
      <c r="E76" s="4644"/>
      <c r="F76" s="4646"/>
      <c r="G76" s="4644"/>
      <c r="H76" s="4649"/>
      <c r="I76" s="4651"/>
      <c r="J76" s="4654"/>
      <c r="K76" s="4636"/>
      <c r="L76" s="4636"/>
      <c r="M76" s="4636"/>
      <c r="N76" s="4639"/>
      <c r="O76" s="4636"/>
      <c r="P76" s="1359"/>
      <c r="Q76" s="1217"/>
      <c r="R76" s="1217"/>
      <c r="S76" s="256"/>
      <c r="T76" s="256"/>
      <c r="U76" s="256"/>
      <c r="V76" s="256"/>
      <c r="W76" s="1218"/>
      <c r="X76" s="1180"/>
      <c r="Y76" s="1180"/>
      <c r="Z76" s="1180"/>
      <c r="AA76" s="1180"/>
      <c r="AB76" s="1180"/>
      <c r="AC76" s="1180"/>
      <c r="AD76" s="1180"/>
      <c r="AE76" s="1180"/>
      <c r="AF76" s="1180"/>
      <c r="AG76" s="1180"/>
      <c r="AH76" s="1180"/>
      <c r="AI76" s="1180"/>
      <c r="AJ76" s="1180"/>
      <c r="AK76" s="1180"/>
      <c r="AL76" s="1180"/>
      <c r="AM76" s="1180"/>
      <c r="AN76" s="1180"/>
      <c r="AO76" s="1180"/>
      <c r="AP76" s="1180"/>
      <c r="AQ76" s="1180"/>
    </row>
    <row r="77" spans="1:43" s="1859" customFormat="1" ht="17.25" hidden="1" customHeight="1">
      <c r="A77" s="245"/>
      <c r="C77" s="244"/>
      <c r="D77" s="4642"/>
      <c r="E77" s="4644"/>
      <c r="F77" s="4646"/>
      <c r="G77" s="4644"/>
      <c r="H77" s="4649"/>
      <c r="I77" s="4651"/>
      <c r="J77" s="4654"/>
      <c r="K77" s="4636"/>
      <c r="L77" s="1217"/>
      <c r="M77" s="1217"/>
      <c r="N77" s="1217"/>
      <c r="O77" s="1217"/>
      <c r="P77" s="1217"/>
      <c r="Q77" s="1217"/>
      <c r="R77" s="1217"/>
      <c r="S77" s="256"/>
      <c r="T77" s="256"/>
      <c r="U77" s="256"/>
      <c r="V77" s="256"/>
      <c r="W77" s="1218"/>
      <c r="X77" s="1180"/>
      <c r="Y77" s="1180"/>
      <c r="Z77" s="1180"/>
      <c r="AA77" s="1180"/>
      <c r="AB77" s="1180"/>
      <c r="AC77" s="1180"/>
      <c r="AD77" s="1180"/>
      <c r="AE77" s="1180"/>
      <c r="AF77" s="1180"/>
      <c r="AG77" s="1180"/>
      <c r="AH77" s="1180"/>
      <c r="AI77" s="1180"/>
      <c r="AJ77" s="1180"/>
      <c r="AK77" s="1180"/>
      <c r="AL77" s="1180"/>
      <c r="AM77" s="1180"/>
      <c r="AN77" s="1180"/>
      <c r="AO77" s="1180"/>
      <c r="AP77" s="1180"/>
      <c r="AQ77" s="1180"/>
    </row>
    <row r="78" spans="1:43" s="1859" customFormat="1" ht="17.25" hidden="1" customHeight="1">
      <c r="A78" s="245"/>
      <c r="C78" s="244"/>
      <c r="D78" s="4642"/>
      <c r="E78" s="4644"/>
      <c r="F78" s="4647"/>
      <c r="G78" s="4644"/>
      <c r="H78" s="1219"/>
      <c r="I78" s="1220"/>
      <c r="J78" s="1220"/>
      <c r="K78" s="1220"/>
      <c r="L78" s="1220"/>
      <c r="M78" s="1220"/>
      <c r="N78" s="1220"/>
      <c r="O78" s="1220"/>
      <c r="P78" s="1220"/>
      <c r="Q78" s="1220"/>
      <c r="R78" s="1220"/>
      <c r="S78" s="1221"/>
      <c r="T78" s="1221"/>
      <c r="U78" s="1221"/>
      <c r="V78" s="1221"/>
      <c r="W78" s="1222"/>
      <c r="X78" s="1180"/>
      <c r="Y78" s="1180"/>
      <c r="Z78" s="1180"/>
      <c r="AA78" s="1180"/>
      <c r="AB78" s="1180"/>
      <c r="AC78" s="1180"/>
      <c r="AD78" s="1180"/>
      <c r="AE78" s="1180"/>
      <c r="AF78" s="1180"/>
      <c r="AG78" s="1180"/>
      <c r="AH78" s="1180"/>
      <c r="AI78" s="1180"/>
      <c r="AJ78" s="1180"/>
      <c r="AK78" s="1180"/>
      <c r="AL78" s="1180"/>
      <c r="AM78" s="1180"/>
      <c r="AN78" s="1180"/>
      <c r="AO78" s="1180"/>
      <c r="AP78" s="1180"/>
      <c r="AQ78" s="1180"/>
    </row>
    <row r="79" spans="1:43" s="1859" customFormat="1" ht="17.25" hidden="1" customHeight="1">
      <c r="A79" s="245"/>
      <c r="C79" s="130"/>
      <c r="D79" s="4641">
        <v>4</v>
      </c>
      <c r="E79" s="4643" t="s">
        <v>284</v>
      </c>
      <c r="F79" s="4645" t="s">
        <v>55</v>
      </c>
      <c r="G79" s="4643"/>
      <c r="H79" s="4648"/>
      <c r="I79" s="4650"/>
      <c r="J79" s="4652"/>
      <c r="K79" s="4635"/>
      <c r="L79" s="4635"/>
      <c r="M79" s="4635"/>
      <c r="N79" s="4637"/>
      <c r="O79" s="4635"/>
      <c r="P79" s="4635"/>
      <c r="Q79" s="4635"/>
      <c r="R79" s="4640"/>
      <c r="S79" s="4635"/>
      <c r="T79" s="1358"/>
      <c r="U79" s="1358"/>
      <c r="V79" s="1360"/>
      <c r="W79" s="1216"/>
      <c r="X79" s="1187"/>
      <c r="Y79" s="1187"/>
      <c r="Z79" s="1187"/>
      <c r="AA79" s="1187"/>
      <c r="AB79" s="1187"/>
      <c r="AC79" s="1187" t="s">
        <v>285</v>
      </c>
      <c r="AD79" s="1187" t="s">
        <v>286</v>
      </c>
      <c r="AE79" s="1187" t="s">
        <v>287</v>
      </c>
      <c r="AF79" s="1187" t="s">
        <v>288</v>
      </c>
      <c r="AG79" s="1187"/>
      <c r="AH79" s="1187" t="str">
        <f>IF($E$79=0,"",$E$79)</f>
        <v>Тариф на подвоз воды</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684">
        <f>$I$79</f>
        <v>0</v>
      </c>
      <c r="AO79" s="1187" t="str">
        <f>$I$79&amp;"."&amp;$M$79</f>
        <v>.</v>
      </c>
      <c r="AP79" s="1180" t="str">
        <f>$I$79&amp;"."&amp;$M$79&amp;"."&amp;$Q$79</f>
        <v>..</v>
      </c>
      <c r="AQ79" s="1180" t="str">
        <f>$I$79&amp;"."&amp;$M$79&amp;"."&amp;$Q$79&amp;"."&amp;$U$79</f>
        <v>...</v>
      </c>
    </row>
    <row r="80" spans="1:43" s="1859" customFormat="1" ht="17.25" hidden="1" customHeight="1">
      <c r="A80" s="245"/>
      <c r="C80" s="244"/>
      <c r="D80" s="4641"/>
      <c r="E80" s="4643"/>
      <c r="F80" s="4646"/>
      <c r="G80" s="4643"/>
      <c r="H80" s="4649"/>
      <c r="I80" s="4651"/>
      <c r="J80" s="4653"/>
      <c r="K80" s="4636"/>
      <c r="L80" s="4636"/>
      <c r="M80" s="4636"/>
      <c r="N80" s="4638"/>
      <c r="O80" s="4636"/>
      <c r="P80" s="4636"/>
      <c r="Q80" s="4636"/>
      <c r="R80" s="4639"/>
      <c r="S80" s="4636"/>
      <c r="T80" s="1217"/>
      <c r="U80" s="1217"/>
      <c r="V80" s="1217"/>
      <c r="W80" s="1218"/>
      <c r="X80" s="1180"/>
      <c r="Y80" s="1180"/>
      <c r="Z80" s="1180"/>
      <c r="AA80" s="1180"/>
      <c r="AB80" s="1180"/>
      <c r="AC80" s="1180"/>
      <c r="AD80" s="1180"/>
      <c r="AE80" s="1180"/>
      <c r="AF80" s="1180"/>
      <c r="AG80" s="1180"/>
      <c r="AH80" s="1180"/>
      <c r="AI80" s="1180"/>
      <c r="AJ80" s="1180"/>
      <c r="AK80" s="1180"/>
      <c r="AL80" s="1180"/>
      <c r="AM80" s="1180"/>
      <c r="AN80" s="1180"/>
      <c r="AO80" s="1180"/>
      <c r="AP80" s="1180"/>
      <c r="AQ80" s="1180"/>
    </row>
    <row r="81" spans="1:43" s="1859" customFormat="1" ht="17.25" hidden="1" customHeight="1">
      <c r="A81" s="245"/>
      <c r="C81" s="244"/>
      <c r="D81" s="4642"/>
      <c r="E81" s="4644"/>
      <c r="F81" s="4646"/>
      <c r="G81" s="4644"/>
      <c r="H81" s="4649"/>
      <c r="I81" s="4651"/>
      <c r="J81" s="4654"/>
      <c r="K81" s="4636"/>
      <c r="L81" s="4636"/>
      <c r="M81" s="4636"/>
      <c r="N81" s="4639"/>
      <c r="O81" s="4636"/>
      <c r="P81" s="1359"/>
      <c r="Q81" s="1217"/>
      <c r="R81" s="1217"/>
      <c r="S81" s="256"/>
      <c r="T81" s="256"/>
      <c r="U81" s="256"/>
      <c r="V81" s="256"/>
      <c r="W81" s="1218"/>
      <c r="X81" s="1180"/>
      <c r="Y81" s="1180"/>
      <c r="Z81" s="1180"/>
      <c r="AA81" s="1180"/>
      <c r="AB81" s="1180"/>
      <c r="AC81" s="1180"/>
      <c r="AD81" s="1180"/>
      <c r="AE81" s="1180"/>
      <c r="AF81" s="1180"/>
      <c r="AG81" s="1180"/>
      <c r="AH81" s="1180"/>
      <c r="AI81" s="1180"/>
      <c r="AJ81" s="1180"/>
      <c r="AK81" s="1180"/>
      <c r="AL81" s="1180"/>
      <c r="AM81" s="1180"/>
      <c r="AN81" s="1180"/>
      <c r="AO81" s="1180"/>
      <c r="AP81" s="1180"/>
      <c r="AQ81" s="1180"/>
    </row>
    <row r="82" spans="1:43" s="1859" customFormat="1" ht="17.25" hidden="1" customHeight="1">
      <c r="A82" s="245"/>
      <c r="C82" s="244"/>
      <c r="D82" s="4642"/>
      <c r="E82" s="4644"/>
      <c r="F82" s="4646"/>
      <c r="G82" s="4644"/>
      <c r="H82" s="4649"/>
      <c r="I82" s="4651"/>
      <c r="J82" s="4654"/>
      <c r="K82" s="4636"/>
      <c r="L82" s="1217"/>
      <c r="M82" s="1217"/>
      <c r="N82" s="1217"/>
      <c r="O82" s="1217"/>
      <c r="P82" s="1217"/>
      <c r="Q82" s="1217"/>
      <c r="R82" s="1217"/>
      <c r="S82" s="256"/>
      <c r="T82" s="256"/>
      <c r="U82" s="256"/>
      <c r="V82" s="256"/>
      <c r="W82" s="1218"/>
      <c r="X82" s="1180"/>
      <c r="Y82" s="1180"/>
      <c r="Z82" s="1180"/>
      <c r="AA82" s="1180"/>
      <c r="AB82" s="1180"/>
      <c r="AC82" s="1180"/>
      <c r="AD82" s="1180"/>
      <c r="AE82" s="1180"/>
      <c r="AF82" s="1180"/>
      <c r="AG82" s="1180"/>
      <c r="AH82" s="1180"/>
      <c r="AI82" s="1180"/>
      <c r="AJ82" s="1180"/>
      <c r="AK82" s="1180"/>
      <c r="AL82" s="1180"/>
      <c r="AM82" s="1180"/>
      <c r="AN82" s="1180"/>
      <c r="AO82" s="1180"/>
      <c r="AP82" s="1180"/>
      <c r="AQ82" s="1180"/>
    </row>
    <row r="83" spans="1:43" s="1859" customFormat="1" ht="17.25" hidden="1" customHeight="1">
      <c r="A83" s="245"/>
      <c r="C83" s="244"/>
      <c r="D83" s="4642"/>
      <c r="E83" s="4644"/>
      <c r="F83" s="4647"/>
      <c r="G83" s="4644"/>
      <c r="H83" s="1219"/>
      <c r="I83" s="1220"/>
      <c r="J83" s="1220"/>
      <c r="K83" s="1220"/>
      <c r="L83" s="1220"/>
      <c r="M83" s="1220"/>
      <c r="N83" s="1220"/>
      <c r="O83" s="1220"/>
      <c r="P83" s="1220"/>
      <c r="Q83" s="1220"/>
      <c r="R83" s="1220"/>
      <c r="S83" s="1221"/>
      <c r="T83" s="1221"/>
      <c r="U83" s="1221"/>
      <c r="V83" s="1221"/>
      <c r="W83" s="1222"/>
      <c r="X83" s="1180"/>
      <c r="Y83" s="1180"/>
      <c r="Z83" s="1180"/>
      <c r="AA83" s="1180"/>
      <c r="AB83" s="1180"/>
      <c r="AC83" s="1180"/>
      <c r="AD83" s="1180"/>
      <c r="AE83" s="1180"/>
      <c r="AF83" s="1180"/>
      <c r="AG83" s="1180"/>
      <c r="AH83" s="1180"/>
      <c r="AI83" s="1180"/>
      <c r="AJ83" s="1180"/>
      <c r="AK83" s="1180"/>
      <c r="AL83" s="1180"/>
      <c r="AM83" s="1180"/>
      <c r="AN83" s="1180"/>
      <c r="AO83" s="1180"/>
      <c r="AP83" s="1180"/>
      <c r="AQ83" s="1180"/>
    </row>
    <row r="84" spans="1:43" s="1859" customFormat="1" ht="17.25" hidden="1" customHeight="1">
      <c r="A84" s="245"/>
      <c r="C84" s="130"/>
      <c r="D84" s="4641">
        <v>5</v>
      </c>
      <c r="E84" s="4643" t="s">
        <v>289</v>
      </c>
      <c r="F84" s="4645" t="s">
        <v>55</v>
      </c>
      <c r="G84" s="4643"/>
      <c r="H84" s="4648"/>
      <c r="I84" s="4650"/>
      <c r="J84" s="4652"/>
      <c r="K84" s="4635"/>
      <c r="L84" s="4635"/>
      <c r="M84" s="4635"/>
      <c r="N84" s="4637"/>
      <c r="O84" s="4635"/>
      <c r="P84" s="4635"/>
      <c r="Q84" s="4635"/>
      <c r="R84" s="4640"/>
      <c r="S84" s="4635"/>
      <c r="T84" s="1382"/>
      <c r="U84" s="1382"/>
      <c r="V84" s="1384"/>
      <c r="W84" s="1216"/>
      <c r="X84" s="1187"/>
      <c r="Y84" s="1187"/>
      <c r="Z84" s="1187"/>
      <c r="AA84" s="1187"/>
      <c r="AB84" s="1187"/>
      <c r="AC84" s="1187" t="s">
        <v>290</v>
      </c>
      <c r="AD84" s="1187" t="s">
        <v>291</v>
      </c>
      <c r="AE84" s="1187" t="s">
        <v>292</v>
      </c>
      <c r="AF84" s="1187" t="s">
        <v>293</v>
      </c>
      <c r="AG84" s="1187"/>
      <c r="AH84" s="1187" t="str">
        <f>IF($E$84=0,"",$E$84)</f>
        <v>Тариф на подключение (технологическое присоединение) к централизованной системе холодного водоснабжения</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84">
        <f>$I$84</f>
        <v>0</v>
      </c>
      <c r="AO84" s="1187" t="str">
        <f>$I$84&amp;"."&amp;$M$84</f>
        <v>.</v>
      </c>
      <c r="AP84" s="1180" t="str">
        <f>$I$84&amp;"."&amp;$M$84&amp;"."&amp;$Q$84</f>
        <v>..</v>
      </c>
      <c r="AQ84" s="1180" t="str">
        <f>$I$84&amp;"."&amp;$M$84&amp;"."&amp;$Q$84&amp;"."&amp;$U$84</f>
        <v>...</v>
      </c>
    </row>
    <row r="85" spans="1:43" s="1859" customFormat="1" ht="17.25" hidden="1" customHeight="1">
      <c r="A85" s="245"/>
      <c r="C85" s="244"/>
      <c r="D85" s="4641"/>
      <c r="E85" s="4643"/>
      <c r="F85" s="4646"/>
      <c r="G85" s="4643"/>
      <c r="H85" s="4649"/>
      <c r="I85" s="4651"/>
      <c r="J85" s="4653"/>
      <c r="K85" s="4636"/>
      <c r="L85" s="4636"/>
      <c r="M85" s="4636"/>
      <c r="N85" s="4638"/>
      <c r="O85" s="4636"/>
      <c r="P85" s="4636"/>
      <c r="Q85" s="4636"/>
      <c r="R85" s="4639"/>
      <c r="S85" s="4636"/>
      <c r="T85" s="1217"/>
      <c r="U85" s="1217"/>
      <c r="V85" s="1217"/>
      <c r="W85" s="1218"/>
      <c r="X85" s="1180"/>
      <c r="Y85" s="1180"/>
      <c r="Z85" s="1180"/>
      <c r="AA85" s="1180"/>
      <c r="AB85" s="1180"/>
      <c r="AC85" s="1180"/>
      <c r="AD85" s="1180"/>
      <c r="AE85" s="1180"/>
      <c r="AF85" s="1180"/>
      <c r="AG85" s="1180"/>
      <c r="AH85" s="1180"/>
      <c r="AI85" s="1180"/>
      <c r="AJ85" s="1180"/>
      <c r="AK85" s="1180"/>
      <c r="AL85" s="1180"/>
      <c r="AM85" s="1180"/>
      <c r="AN85" s="1180"/>
      <c r="AO85" s="1180"/>
      <c r="AP85" s="1180"/>
      <c r="AQ85" s="1180"/>
    </row>
    <row r="86" spans="1:43" s="1859" customFormat="1" ht="17.25" hidden="1" customHeight="1">
      <c r="A86" s="245"/>
      <c r="C86" s="244"/>
      <c r="D86" s="4642"/>
      <c r="E86" s="4644"/>
      <c r="F86" s="4646"/>
      <c r="G86" s="4644"/>
      <c r="H86" s="4649"/>
      <c r="I86" s="4651"/>
      <c r="J86" s="4654"/>
      <c r="K86" s="4636"/>
      <c r="L86" s="4636"/>
      <c r="M86" s="4636"/>
      <c r="N86" s="4639"/>
      <c r="O86" s="4636"/>
      <c r="P86" s="1383"/>
      <c r="Q86" s="1217"/>
      <c r="R86" s="1217"/>
      <c r="S86" s="256"/>
      <c r="T86" s="256"/>
      <c r="U86" s="256"/>
      <c r="V86" s="256"/>
      <c r="W86" s="1218"/>
      <c r="X86" s="1180"/>
      <c r="Y86" s="1180"/>
      <c r="Z86" s="1180"/>
      <c r="AA86" s="1180"/>
      <c r="AB86" s="1180"/>
      <c r="AC86" s="1180"/>
      <c r="AD86" s="1180"/>
      <c r="AE86" s="1180"/>
      <c r="AF86" s="1180"/>
      <c r="AG86" s="1180"/>
      <c r="AH86" s="1180"/>
      <c r="AI86" s="1180"/>
      <c r="AJ86" s="1180"/>
      <c r="AK86" s="1180"/>
      <c r="AL86" s="1180"/>
      <c r="AM86" s="1180"/>
      <c r="AN86" s="1180"/>
      <c r="AO86" s="1180"/>
      <c r="AP86" s="1180"/>
      <c r="AQ86" s="1180"/>
    </row>
    <row r="87" spans="1:43" s="1859" customFormat="1" ht="17.25" hidden="1" customHeight="1">
      <c r="A87" s="245"/>
      <c r="C87" s="244"/>
      <c r="D87" s="4642"/>
      <c r="E87" s="4644"/>
      <c r="F87" s="4646"/>
      <c r="G87" s="4644"/>
      <c r="H87" s="4649"/>
      <c r="I87" s="4651"/>
      <c r="J87" s="4654"/>
      <c r="K87" s="4636"/>
      <c r="L87" s="1217"/>
      <c r="M87" s="1217"/>
      <c r="N87" s="1217"/>
      <c r="O87" s="1217"/>
      <c r="P87" s="1217"/>
      <c r="Q87" s="1217"/>
      <c r="R87" s="1217"/>
      <c r="S87" s="256"/>
      <c r="T87" s="256"/>
      <c r="U87" s="256"/>
      <c r="V87" s="256"/>
      <c r="W87" s="1218"/>
      <c r="X87" s="1180"/>
      <c r="Y87" s="1180"/>
      <c r="Z87" s="1180"/>
      <c r="AA87" s="1180"/>
      <c r="AB87" s="1180"/>
      <c r="AC87" s="1180"/>
      <c r="AD87" s="1180"/>
      <c r="AE87" s="1180"/>
      <c r="AF87" s="1180"/>
      <c r="AG87" s="1180"/>
      <c r="AH87" s="1180"/>
      <c r="AI87" s="1180"/>
      <c r="AJ87" s="1180"/>
      <c r="AK87" s="1180"/>
      <c r="AL87" s="1180"/>
      <c r="AM87" s="1180"/>
      <c r="AN87" s="1180"/>
      <c r="AO87" s="1180"/>
      <c r="AP87" s="1180"/>
      <c r="AQ87" s="1180"/>
    </row>
    <row r="88" spans="1:43" s="1859" customFormat="1" ht="17.25" hidden="1" customHeight="1">
      <c r="A88" s="245"/>
      <c r="C88" s="244"/>
      <c r="D88" s="4642"/>
      <c r="E88" s="4644"/>
      <c r="F88" s="4647"/>
      <c r="G88" s="4644"/>
      <c r="H88" s="1219"/>
      <c r="I88" s="1220"/>
      <c r="J88" s="1220"/>
      <c r="K88" s="1220"/>
      <c r="L88" s="1220"/>
      <c r="M88" s="1220"/>
      <c r="N88" s="1220"/>
      <c r="O88" s="1220"/>
      <c r="P88" s="1220"/>
      <c r="Q88" s="1220"/>
      <c r="R88" s="1220"/>
      <c r="S88" s="1221"/>
      <c r="T88" s="1221"/>
      <c r="U88" s="1221"/>
      <c r="V88" s="1221"/>
      <c r="W88" s="1222"/>
      <c r="X88" s="1180"/>
      <c r="Y88" s="1180"/>
      <c r="Z88" s="1180"/>
      <c r="AA88" s="1180"/>
      <c r="AB88" s="1180"/>
      <c r="AC88" s="1180"/>
      <c r="AD88" s="1180"/>
      <c r="AE88" s="1180"/>
      <c r="AF88" s="1180"/>
      <c r="AG88" s="1180"/>
      <c r="AH88" s="1180"/>
      <c r="AI88" s="1180"/>
      <c r="AJ88" s="1180"/>
      <c r="AK88" s="1180"/>
      <c r="AL88" s="1180"/>
      <c r="AM88" s="1180"/>
      <c r="AN88" s="1180"/>
      <c r="AO88" s="1180"/>
      <c r="AP88" s="1180"/>
      <c r="AQ88" s="1180"/>
    </row>
    <row r="89" spans="1:43" s="1861" customFormat="1" ht="11.25" hidden="1" customHeight="1">
      <c r="A89" s="195"/>
      <c r="B89" s="195"/>
      <c r="Y89" s="1180"/>
      <c r="Z89" s="1180"/>
      <c r="AA89" s="1180"/>
      <c r="AB89" s="1180"/>
      <c r="AC89" s="1180"/>
      <c r="AD89" s="1180"/>
      <c r="AE89" s="1180"/>
      <c r="AF89" s="1180"/>
      <c r="AG89" s="1180"/>
      <c r="AH89" s="1180"/>
      <c r="AI89" s="1180"/>
      <c r="AJ89" s="1180"/>
      <c r="AK89" s="1180"/>
      <c r="AL89" s="1180"/>
      <c r="AM89" s="1180"/>
      <c r="AN89" s="1180"/>
      <c r="AO89" s="1180"/>
      <c r="AP89" s="1180"/>
      <c r="AQ89" s="1180"/>
    </row>
    <row r="90" spans="1:43" s="1861" customFormat="1" ht="17.25" hidden="1" customHeight="1">
      <c r="A90" s="245"/>
      <c r="C90" s="130"/>
      <c r="D90" s="4641">
        <v>1</v>
      </c>
      <c r="E90" s="4643" t="s">
        <v>294</v>
      </c>
      <c r="F90" s="4645" t="s">
        <v>55</v>
      </c>
      <c r="G90" s="4643"/>
      <c r="H90" s="4648"/>
      <c r="I90" s="4650"/>
      <c r="J90" s="4652"/>
      <c r="K90" s="4635"/>
      <c r="L90" s="4635"/>
      <c r="M90" s="4635"/>
      <c r="N90" s="4637"/>
      <c r="O90" s="4635"/>
      <c r="P90" s="4635"/>
      <c r="Q90" s="4635"/>
      <c r="R90" s="4640"/>
      <c r="S90" s="4635"/>
      <c r="T90" s="1382"/>
      <c r="U90" s="1382"/>
      <c r="V90" s="1384"/>
      <c r="W90" s="1216"/>
      <c r="Y90" s="1187"/>
      <c r="Z90" s="1187"/>
      <c r="AA90" s="1187"/>
      <c r="AB90" s="1187"/>
      <c r="AC90" s="1187" t="s">
        <v>295</v>
      </c>
      <c r="AD90" s="1187" t="s">
        <v>296</v>
      </c>
      <c r="AE90" s="1187" t="s">
        <v>297</v>
      </c>
      <c r="AF90" s="1187" t="s">
        <v>298</v>
      </c>
      <c r="AG90" s="1187"/>
      <c r="AH90" s="1187" t="str">
        <f>IF($E$90=0,"",$E$90)</f>
        <v>Тариф на горячую воду (горячее водоснабжение)</v>
      </c>
      <c r="AI90" s="1187" t="str">
        <f>IF($G$90=0,"",$G$90)</f>
        <v/>
      </c>
      <c r="AJ90" s="1187" t="str">
        <f>IF($J$90=0,"",$J$90)</f>
        <v/>
      </c>
      <c r="AK90" s="1187" t="str">
        <f>IF($K$90="нет","без дифференциации",IF($N$90=0,"",$N$90))</f>
        <v/>
      </c>
      <c r="AL90" s="1187" t="str">
        <f>IF($O$90="нет","без дифференциации",IF($R$90=0,"",$R$90))</f>
        <v/>
      </c>
      <c r="AM90" s="1187" t="str">
        <f>IF($S$90="нет","без дифференциации",IF($V$90=0,"",$V$90))</f>
        <v/>
      </c>
      <c r="AN90" s="1187">
        <f>$I$90</f>
        <v>0</v>
      </c>
      <c r="AO90" s="1187" t="str">
        <f>$I$90&amp;"."&amp;$M$90</f>
        <v>.</v>
      </c>
      <c r="AP90" s="1187" t="str">
        <f>$I$90&amp;"."&amp;$M$90&amp;"."&amp;$Q$90</f>
        <v>..</v>
      </c>
      <c r="AQ90" s="1187" t="str">
        <f>$I$90&amp;"."&amp;$M$90&amp;"."&amp;$Q$90&amp;"."&amp;$U$90</f>
        <v>...</v>
      </c>
    </row>
    <row r="91" spans="1:43" s="1861" customFormat="1" ht="17.25" hidden="1" customHeight="1">
      <c r="A91" s="245"/>
      <c r="C91" s="244"/>
      <c r="D91" s="4641"/>
      <c r="E91" s="4643"/>
      <c r="F91" s="4646"/>
      <c r="G91" s="4643"/>
      <c r="H91" s="4649"/>
      <c r="I91" s="4651"/>
      <c r="J91" s="4653"/>
      <c r="K91" s="4636"/>
      <c r="L91" s="4636"/>
      <c r="M91" s="4636"/>
      <c r="N91" s="4638"/>
      <c r="O91" s="4636"/>
      <c r="P91" s="4636"/>
      <c r="Q91" s="4636"/>
      <c r="R91" s="4639"/>
      <c r="S91" s="4636"/>
      <c r="T91" s="1217"/>
      <c r="U91" s="1217"/>
      <c r="V91" s="1217"/>
      <c r="W91" s="1218"/>
      <c r="Y91" s="1180"/>
      <c r="Z91" s="1180"/>
      <c r="AA91" s="1180"/>
      <c r="AB91" s="1180"/>
      <c r="AC91" s="1180"/>
      <c r="AD91" s="1180"/>
      <c r="AE91" s="1180"/>
      <c r="AF91" s="1180"/>
      <c r="AG91" s="1180"/>
      <c r="AH91" s="1180"/>
      <c r="AI91" s="1180"/>
      <c r="AJ91" s="1180"/>
      <c r="AK91" s="1180"/>
      <c r="AL91" s="1180"/>
      <c r="AM91" s="1180"/>
      <c r="AN91" s="1180"/>
      <c r="AO91" s="1180"/>
      <c r="AP91" s="1180"/>
      <c r="AQ91" s="1180"/>
    </row>
    <row r="92" spans="1:43" s="1861" customFormat="1" ht="17.25" hidden="1" customHeight="1">
      <c r="A92" s="245"/>
      <c r="C92" s="130"/>
      <c r="D92" s="4641"/>
      <c r="E92" s="4643"/>
      <c r="F92" s="4646"/>
      <c r="G92" s="4643"/>
      <c r="H92" s="4649"/>
      <c r="I92" s="4651"/>
      <c r="J92" s="4654"/>
      <c r="K92" s="4636"/>
      <c r="L92" s="4636"/>
      <c r="M92" s="4636"/>
      <c r="N92" s="4639"/>
      <c r="O92" s="4636"/>
      <c r="P92" s="1383"/>
      <c r="Q92" s="1217"/>
      <c r="R92" s="1217"/>
      <c r="S92" s="256"/>
      <c r="T92" s="256"/>
      <c r="U92" s="256"/>
      <c r="V92" s="256"/>
      <c r="W92" s="1218"/>
      <c r="Y92" s="1187"/>
      <c r="Z92" s="1187"/>
      <c r="AA92" s="1187"/>
      <c r="AB92" s="1187"/>
      <c r="AC92" s="1187"/>
      <c r="AD92" s="1187"/>
      <c r="AE92" s="1187"/>
      <c r="AF92" s="1187"/>
      <c r="AG92" s="1187"/>
      <c r="AH92" s="1187"/>
      <c r="AI92" s="1187"/>
      <c r="AJ92" s="1187"/>
      <c r="AK92" s="1187"/>
      <c r="AL92" s="1187"/>
      <c r="AM92" s="1187"/>
      <c r="AN92" s="1187"/>
      <c r="AO92" s="1187"/>
      <c r="AP92" s="1187"/>
      <c r="AQ92" s="1187"/>
    </row>
    <row r="93" spans="1:43" s="1861" customFormat="1" ht="17.25" hidden="1" customHeight="1">
      <c r="A93" s="245"/>
      <c r="C93" s="244"/>
      <c r="D93" s="4641"/>
      <c r="E93" s="4643"/>
      <c r="F93" s="4646"/>
      <c r="G93" s="4643"/>
      <c r="H93" s="4649"/>
      <c r="I93" s="4651"/>
      <c r="J93" s="4654"/>
      <c r="K93" s="4636"/>
      <c r="L93" s="1217"/>
      <c r="M93" s="1217"/>
      <c r="N93" s="1217"/>
      <c r="O93" s="1217"/>
      <c r="P93" s="1217"/>
      <c r="Q93" s="1217"/>
      <c r="R93" s="1217"/>
      <c r="S93" s="256"/>
      <c r="T93" s="256"/>
      <c r="U93" s="256"/>
      <c r="V93" s="256"/>
      <c r="W93" s="1218"/>
      <c r="Y93" s="1180"/>
      <c r="Z93" s="1180"/>
      <c r="AA93" s="1180"/>
      <c r="AB93" s="1180"/>
      <c r="AC93" s="1180"/>
      <c r="AD93" s="1180"/>
      <c r="AE93" s="1180"/>
      <c r="AF93" s="1180"/>
      <c r="AG93" s="1180"/>
      <c r="AH93" s="1180"/>
      <c r="AI93" s="1180"/>
      <c r="AJ93" s="1180"/>
      <c r="AK93" s="1180"/>
      <c r="AL93" s="1180"/>
      <c r="AM93" s="1180"/>
      <c r="AN93" s="1180"/>
      <c r="AO93" s="1180"/>
      <c r="AP93" s="1180"/>
      <c r="AQ93" s="1180"/>
    </row>
    <row r="94" spans="1:43" s="1861" customFormat="1" ht="17.25" hidden="1" customHeight="1">
      <c r="A94" s="245"/>
      <c r="C94" s="244"/>
      <c r="D94" s="4642"/>
      <c r="E94" s="4644"/>
      <c r="F94" s="4647"/>
      <c r="G94" s="4644"/>
      <c r="H94" s="1219"/>
      <c r="I94" s="1220"/>
      <c r="J94" s="1220"/>
      <c r="K94" s="1220"/>
      <c r="L94" s="1220"/>
      <c r="M94" s="1220"/>
      <c r="N94" s="1220"/>
      <c r="O94" s="1220"/>
      <c r="P94" s="1220"/>
      <c r="Q94" s="1220"/>
      <c r="R94" s="1220"/>
      <c r="S94" s="1221"/>
      <c r="T94" s="1221"/>
      <c r="U94" s="1221"/>
      <c r="V94" s="1221"/>
      <c r="W94" s="1222"/>
      <c r="Y94" s="1180"/>
      <c r="Z94" s="1180"/>
      <c r="AA94" s="1180"/>
      <c r="AB94" s="1180"/>
      <c r="AC94" s="1180"/>
      <c r="AD94" s="1180"/>
      <c r="AE94" s="1180"/>
      <c r="AF94" s="1180"/>
      <c r="AG94" s="1180"/>
      <c r="AH94" s="1180"/>
      <c r="AI94" s="1180"/>
      <c r="AJ94" s="1180"/>
      <c r="AK94" s="1180"/>
      <c r="AL94" s="1180"/>
      <c r="AM94" s="1180"/>
      <c r="AN94" s="1180"/>
      <c r="AO94" s="1180"/>
      <c r="AP94" s="1180"/>
      <c r="AQ94" s="1180"/>
    </row>
    <row r="95" spans="1:43" s="1861" customFormat="1" ht="17.25" hidden="1" customHeight="1">
      <c r="A95" s="245"/>
      <c r="C95" s="130"/>
      <c r="D95" s="4641">
        <v>2</v>
      </c>
      <c r="E95" s="4643" t="s">
        <v>299</v>
      </c>
      <c r="F95" s="4645" t="s">
        <v>55</v>
      </c>
      <c r="G95" s="4643"/>
      <c r="H95" s="4648"/>
      <c r="I95" s="4650"/>
      <c r="J95" s="4652"/>
      <c r="K95" s="4635"/>
      <c r="L95" s="4635"/>
      <c r="M95" s="4635"/>
      <c r="N95" s="4637"/>
      <c r="O95" s="4635"/>
      <c r="P95" s="4635"/>
      <c r="Q95" s="4635"/>
      <c r="R95" s="4640"/>
      <c r="S95" s="4635"/>
      <c r="T95" s="1382"/>
      <c r="U95" s="1382"/>
      <c r="V95" s="1384"/>
      <c r="W95" s="1216"/>
      <c r="X95" s="1187"/>
      <c r="Y95" s="1187"/>
      <c r="Z95" s="1187"/>
      <c r="AA95" s="1187"/>
      <c r="AB95" s="1187"/>
      <c r="AC95" s="1187" t="s">
        <v>300</v>
      </c>
      <c r="AD95" s="1187" t="s">
        <v>301</v>
      </c>
      <c r="AE95" s="1187" t="s">
        <v>302</v>
      </c>
      <c r="AF95" s="1187" t="s">
        <v>303</v>
      </c>
      <c r="AG95" s="1187"/>
      <c r="AH95" s="1187" t="str">
        <f>IF($E$95=0,"",$E$95)</f>
        <v>Тариф на транспортировку горячей воды</v>
      </c>
      <c r="AI95" s="1187" t="str">
        <f>IF($G$95=0,"",$G$95)</f>
        <v/>
      </c>
      <c r="AJ95" s="1187" t="str">
        <f>IF($J$95=0,"",$J$95)</f>
        <v/>
      </c>
      <c r="AK95" s="1187" t="str">
        <f>IF($K$95="нет","без дифференциации",IF($N$95=0,"",$N$95))</f>
        <v/>
      </c>
      <c r="AL95" s="1187" t="str">
        <f>IF($O$95="нет","без дифференциации",IF($R$95=0,"",$R$95))</f>
        <v/>
      </c>
      <c r="AM95" s="1187" t="str">
        <f>IF($S$95="нет","без дифференциации",IF($V$95=0,"",$V$95))</f>
        <v/>
      </c>
      <c r="AN95" s="1684">
        <f>$I$95</f>
        <v>0</v>
      </c>
      <c r="AO95" s="1187" t="str">
        <f>$I$95&amp;"."&amp;$M$95</f>
        <v>.</v>
      </c>
      <c r="AP95" s="1180" t="str">
        <f>$I$95&amp;"."&amp;$M$95&amp;"."&amp;$Q$95</f>
        <v>..</v>
      </c>
      <c r="AQ95" s="1180" t="str">
        <f>$I$95&amp;"."&amp;$M$95&amp;"."&amp;$Q$95&amp;"."&amp;$U$95</f>
        <v>...</v>
      </c>
    </row>
    <row r="96" spans="1:43" s="1861" customFormat="1" ht="17.25" hidden="1" customHeight="1">
      <c r="A96" s="245"/>
      <c r="C96" s="244"/>
      <c r="D96" s="4641"/>
      <c r="E96" s="4643"/>
      <c r="F96" s="4646"/>
      <c r="G96" s="4643"/>
      <c r="H96" s="4649"/>
      <c r="I96" s="4651"/>
      <c r="J96" s="4653"/>
      <c r="K96" s="4636"/>
      <c r="L96" s="4636"/>
      <c r="M96" s="4636"/>
      <c r="N96" s="4638"/>
      <c r="O96" s="4636"/>
      <c r="P96" s="4636"/>
      <c r="Q96" s="4636"/>
      <c r="R96" s="4639"/>
      <c r="S96" s="4636"/>
      <c r="T96" s="1217"/>
      <c r="U96" s="1217"/>
      <c r="V96" s="1217"/>
      <c r="W96" s="1218"/>
      <c r="X96" s="1180"/>
      <c r="Y96" s="1180"/>
      <c r="Z96" s="1180"/>
      <c r="AA96" s="1180"/>
      <c r="AB96" s="1180"/>
      <c r="AC96" s="1180"/>
      <c r="AD96" s="1180"/>
      <c r="AE96" s="1180"/>
      <c r="AF96" s="1180"/>
      <c r="AG96" s="1180"/>
      <c r="AH96" s="1180"/>
      <c r="AI96" s="1180"/>
      <c r="AJ96" s="1180"/>
      <c r="AK96" s="1180"/>
      <c r="AL96" s="1180"/>
      <c r="AM96" s="1180"/>
      <c r="AN96" s="1180"/>
      <c r="AO96" s="1180"/>
      <c r="AP96" s="1180"/>
      <c r="AQ96" s="1180"/>
    </row>
    <row r="97" spans="1:44" s="1861" customFormat="1" ht="17.25" hidden="1" customHeight="1">
      <c r="A97" s="245"/>
      <c r="C97" s="244"/>
      <c r="D97" s="4642"/>
      <c r="E97" s="4644"/>
      <c r="F97" s="4646"/>
      <c r="G97" s="4644"/>
      <c r="H97" s="4649"/>
      <c r="I97" s="4651"/>
      <c r="J97" s="4654"/>
      <c r="K97" s="4636"/>
      <c r="L97" s="4636"/>
      <c r="M97" s="4636"/>
      <c r="N97" s="4639"/>
      <c r="O97" s="4636"/>
      <c r="P97" s="1383"/>
      <c r="Q97" s="1217"/>
      <c r="R97" s="1217"/>
      <c r="S97" s="256"/>
      <c r="T97" s="256"/>
      <c r="U97" s="256"/>
      <c r="V97" s="256"/>
      <c r="W97" s="1218"/>
      <c r="X97" s="1180"/>
      <c r="Y97" s="1180"/>
      <c r="Z97" s="1180"/>
      <c r="AA97" s="1180"/>
      <c r="AB97" s="1180"/>
      <c r="AC97" s="1180"/>
      <c r="AD97" s="1180"/>
      <c r="AE97" s="1180"/>
      <c r="AF97" s="1180"/>
      <c r="AG97" s="1180"/>
      <c r="AH97" s="1180"/>
      <c r="AI97" s="1180"/>
      <c r="AJ97" s="1180"/>
      <c r="AK97" s="1180"/>
      <c r="AL97" s="1180"/>
      <c r="AM97" s="1180"/>
      <c r="AN97" s="1180"/>
      <c r="AO97" s="1180"/>
      <c r="AP97" s="1180"/>
      <c r="AQ97" s="1180"/>
    </row>
    <row r="98" spans="1:44" s="1861" customFormat="1" ht="17.25" hidden="1" customHeight="1">
      <c r="A98" s="245"/>
      <c r="C98" s="244"/>
      <c r="D98" s="4642"/>
      <c r="E98" s="4644"/>
      <c r="F98" s="4646"/>
      <c r="G98" s="4644"/>
      <c r="H98" s="4649"/>
      <c r="I98" s="4651"/>
      <c r="J98" s="4654"/>
      <c r="K98" s="4636"/>
      <c r="L98" s="1217"/>
      <c r="M98" s="1217"/>
      <c r="N98" s="1217"/>
      <c r="O98" s="1217"/>
      <c r="P98" s="1217"/>
      <c r="Q98" s="1217"/>
      <c r="R98" s="1217"/>
      <c r="S98" s="256"/>
      <c r="T98" s="256"/>
      <c r="U98" s="256"/>
      <c r="V98" s="256"/>
      <c r="W98" s="1218"/>
      <c r="X98" s="1180"/>
      <c r="Y98" s="1180"/>
      <c r="Z98" s="1180"/>
      <c r="AA98" s="1180"/>
      <c r="AB98" s="1180"/>
      <c r="AC98" s="1180"/>
      <c r="AD98" s="1180"/>
      <c r="AE98" s="1180"/>
      <c r="AF98" s="1180"/>
      <c r="AG98" s="1180"/>
      <c r="AH98" s="1180"/>
      <c r="AI98" s="1180"/>
      <c r="AJ98" s="1180"/>
      <c r="AK98" s="1180"/>
      <c r="AL98" s="1180"/>
      <c r="AM98" s="1180"/>
      <c r="AN98" s="1180"/>
      <c r="AO98" s="1180"/>
      <c r="AP98" s="1180"/>
      <c r="AQ98" s="1180"/>
    </row>
    <row r="99" spans="1:44" s="1861" customFormat="1" ht="17.25" hidden="1" customHeight="1">
      <c r="A99" s="245"/>
      <c r="C99" s="244"/>
      <c r="D99" s="4642"/>
      <c r="E99" s="4644"/>
      <c r="F99" s="4647"/>
      <c r="G99" s="4644"/>
      <c r="H99" s="1219"/>
      <c r="I99" s="1220"/>
      <c r="J99" s="1220"/>
      <c r="K99" s="1220"/>
      <c r="L99" s="1220"/>
      <c r="M99" s="1220"/>
      <c r="N99" s="1220"/>
      <c r="O99" s="1220"/>
      <c r="P99" s="1220"/>
      <c r="Q99" s="1220"/>
      <c r="R99" s="1220"/>
      <c r="S99" s="1221"/>
      <c r="T99" s="1221"/>
      <c r="U99" s="1221"/>
      <c r="V99" s="1221"/>
      <c r="W99" s="1222"/>
      <c r="X99" s="1180"/>
      <c r="Y99" s="1180"/>
      <c r="Z99" s="1180"/>
      <c r="AA99" s="1180"/>
      <c r="AB99" s="1180"/>
      <c r="AC99" s="1180"/>
      <c r="AD99" s="1180"/>
      <c r="AE99" s="1180"/>
      <c r="AF99" s="1180"/>
      <c r="AG99" s="1180"/>
      <c r="AH99" s="1180"/>
      <c r="AI99" s="1180"/>
      <c r="AJ99" s="1180"/>
      <c r="AK99" s="1180"/>
      <c r="AL99" s="1180"/>
      <c r="AM99" s="1180"/>
      <c r="AN99" s="1180"/>
      <c r="AO99" s="1180"/>
      <c r="AP99" s="1180"/>
      <c r="AQ99" s="1180"/>
    </row>
    <row r="100" spans="1:44" s="1861" customFormat="1" ht="17.25" hidden="1" customHeight="1">
      <c r="A100" s="245"/>
      <c r="C100" s="130"/>
      <c r="D100" s="4641">
        <v>3</v>
      </c>
      <c r="E100" s="4643" t="s">
        <v>304</v>
      </c>
      <c r="F100" s="4645" t="s">
        <v>55</v>
      </c>
      <c r="G100" s="4643"/>
      <c r="H100" s="4648"/>
      <c r="I100" s="4650"/>
      <c r="J100" s="4652"/>
      <c r="K100" s="4635"/>
      <c r="L100" s="4635"/>
      <c r="M100" s="4635"/>
      <c r="N100" s="4637"/>
      <c r="O100" s="4635"/>
      <c r="P100" s="4635"/>
      <c r="Q100" s="4635"/>
      <c r="R100" s="4640"/>
      <c r="S100" s="4635"/>
      <c r="T100" s="1382"/>
      <c r="U100" s="1382"/>
      <c r="V100" s="1384"/>
      <c r="W100" s="1216"/>
      <c r="X100" s="1187"/>
      <c r="Y100" s="1187"/>
      <c r="Z100" s="1187"/>
      <c r="AA100" s="1187"/>
      <c r="AB100" s="1187"/>
      <c r="AC100" s="1187" t="s">
        <v>305</v>
      </c>
      <c r="AD100" s="1187" t="s">
        <v>306</v>
      </c>
      <c r="AE100" s="1187" t="s">
        <v>307</v>
      </c>
      <c r="AF100" s="1187" t="s">
        <v>308</v>
      </c>
      <c r="AG100" s="1187"/>
      <c r="AH100" s="1187" t="str">
        <f>IF($E$100=0,"",$E$100)</f>
        <v>Тариф на подключение (технологическое присоединение) к централизованной системе горячего водоснабжения</v>
      </c>
      <c r="AI100" s="1187" t="str">
        <f>IF($G$100=0,"",$G$100)</f>
        <v/>
      </c>
      <c r="AJ100" s="1187" t="str">
        <f>IF($J$100=0,"",$J$100)</f>
        <v/>
      </c>
      <c r="AK100" s="1187" t="str">
        <f>IF($K$100="нет","без дифференциации",IF($N$100=0,"",$N$100))</f>
        <v/>
      </c>
      <c r="AL100" s="1187" t="str">
        <f>IF($O$100="нет","без дифференциации",IF($R$100=0,"",$R$100))</f>
        <v/>
      </c>
      <c r="AM100" s="1187" t="str">
        <f>IF($S$100="нет","без дифференциации",IF($V$100=0,"",$V$100))</f>
        <v/>
      </c>
      <c r="AN100" s="1684">
        <f>$I$100</f>
        <v>0</v>
      </c>
      <c r="AO100" s="1187" t="str">
        <f>$I$100&amp;"."&amp;$M$100</f>
        <v>.</v>
      </c>
      <c r="AP100" s="1180" t="str">
        <f>$I$100&amp;"."&amp;$M$100&amp;"."&amp;$Q$100</f>
        <v>..</v>
      </c>
      <c r="AQ100" s="1180" t="str">
        <f>$I$100&amp;"."&amp;$M$100&amp;"."&amp;$Q$100&amp;"."&amp;$U$100</f>
        <v>...</v>
      </c>
    </row>
    <row r="101" spans="1:44" s="1861" customFormat="1" ht="17.25" hidden="1" customHeight="1">
      <c r="A101" s="245"/>
      <c r="C101" s="244"/>
      <c r="D101" s="4641"/>
      <c r="E101" s="4643"/>
      <c r="F101" s="4646"/>
      <c r="G101" s="4643"/>
      <c r="H101" s="4649"/>
      <c r="I101" s="4651"/>
      <c r="J101" s="4653"/>
      <c r="K101" s="4636"/>
      <c r="L101" s="4636"/>
      <c r="M101" s="4636"/>
      <c r="N101" s="4638"/>
      <c r="O101" s="4636"/>
      <c r="P101" s="4636"/>
      <c r="Q101" s="4636"/>
      <c r="R101" s="4639"/>
      <c r="S101" s="4636"/>
      <c r="T101" s="1217"/>
      <c r="U101" s="1217"/>
      <c r="V101" s="1217"/>
      <c r="W101" s="1218"/>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row>
    <row r="102" spans="1:44" s="1861" customFormat="1" ht="17.25" hidden="1" customHeight="1">
      <c r="A102" s="245"/>
      <c r="C102" s="244"/>
      <c r="D102" s="4642"/>
      <c r="E102" s="4644"/>
      <c r="F102" s="4646"/>
      <c r="G102" s="4644"/>
      <c r="H102" s="4649"/>
      <c r="I102" s="4651"/>
      <c r="J102" s="4654"/>
      <c r="K102" s="4636"/>
      <c r="L102" s="4636"/>
      <c r="M102" s="4636"/>
      <c r="N102" s="4639"/>
      <c r="O102" s="4636"/>
      <c r="P102" s="1383"/>
      <c r="Q102" s="1217"/>
      <c r="R102" s="1217"/>
      <c r="S102" s="256"/>
      <c r="T102" s="256"/>
      <c r="U102" s="256"/>
      <c r="V102" s="256"/>
      <c r="W102" s="1218"/>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row>
    <row r="103" spans="1:44" s="1861" customFormat="1" ht="17.25" hidden="1" customHeight="1">
      <c r="A103" s="245"/>
      <c r="C103" s="244"/>
      <c r="D103" s="4642"/>
      <c r="E103" s="4644"/>
      <c r="F103" s="4646"/>
      <c r="G103" s="4644"/>
      <c r="H103" s="4649"/>
      <c r="I103" s="4651"/>
      <c r="J103" s="4654"/>
      <c r="K103" s="4636"/>
      <c r="L103" s="1217"/>
      <c r="M103" s="1217"/>
      <c r="N103" s="1217"/>
      <c r="O103" s="1217"/>
      <c r="P103" s="1217"/>
      <c r="Q103" s="1217"/>
      <c r="R103" s="1217"/>
      <c r="S103" s="256"/>
      <c r="T103" s="256"/>
      <c r="U103" s="256"/>
      <c r="V103" s="256"/>
      <c r="W103" s="1218"/>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row>
    <row r="104" spans="1:44" s="1861" customFormat="1" ht="17.25" hidden="1" customHeight="1">
      <c r="A104" s="245"/>
      <c r="C104" s="244"/>
      <c r="D104" s="4642"/>
      <c r="E104" s="4644"/>
      <c r="F104" s="4647"/>
      <c r="G104" s="4644"/>
      <c r="H104" s="1219"/>
      <c r="I104" s="1220"/>
      <c r="J104" s="1220"/>
      <c r="K104" s="1220"/>
      <c r="L104" s="1220"/>
      <c r="M104" s="1220"/>
      <c r="N104" s="1220"/>
      <c r="O104" s="1220"/>
      <c r="P104" s="1220"/>
      <c r="Q104" s="1220"/>
      <c r="R104" s="1220"/>
      <c r="S104" s="1221"/>
      <c r="T104" s="1221"/>
      <c r="U104" s="1221"/>
      <c r="V104" s="1221"/>
      <c r="W104" s="1222"/>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row>
    <row r="105" spans="1:44" s="1861" customFormat="1" ht="11.25" hidden="1" customHeight="1">
      <c r="A105" s="195"/>
      <c r="B105" s="195"/>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row>
    <row r="106" spans="1:44" s="1861" customFormat="1" ht="17.25" customHeight="1">
      <c r="A106" s="245"/>
      <c r="C106" s="130"/>
      <c r="D106" s="4641">
        <v>1</v>
      </c>
      <c r="E106" s="4643" t="s">
        <v>309</v>
      </c>
      <c r="F106" s="4645" t="s">
        <v>65</v>
      </c>
      <c r="G106" s="4675" t="str">
        <f>INDEX(VOTV_PT_VED_NAME,MATCH(4189714,VOTV_PT_VED_ID,0))</f>
        <v>Водоотведение</v>
      </c>
      <c r="H106" s="4682"/>
      <c r="I106" s="4682">
        <v>1</v>
      </c>
      <c r="J106" s="4681" t="s">
        <v>310</v>
      </c>
      <c r="K106" s="4684" t="s">
        <v>65</v>
      </c>
      <c r="L106" s="4609"/>
      <c r="M106" s="4609" t="s">
        <v>174</v>
      </c>
      <c r="N106" s="4686" t="str">
        <f>IF(Z106="","",INDEX(TERRITORY_MR_LIST,MATCH(Z106,TERRITORY_LIST_ID,0)))</f>
        <v>Территория 1</v>
      </c>
      <c r="O106" s="4684" t="s">
        <v>55</v>
      </c>
      <c r="P106" s="4609"/>
      <c r="Q106" s="4609" t="s">
        <v>174</v>
      </c>
      <c r="R106" s="4688" t="s">
        <v>24</v>
      </c>
      <c r="S106" s="4680" t="s">
        <v>55</v>
      </c>
      <c r="T106" s="1862"/>
      <c r="U106" s="1862" t="s">
        <v>174</v>
      </c>
      <c r="V106" s="1863"/>
      <c r="W106" s="4681"/>
      <c r="Y106" s="1187"/>
      <c r="Z106" s="1187" t="s">
        <v>96</v>
      </c>
      <c r="AA106" s="1187"/>
      <c r="AB106" s="1187" t="s">
        <v>311</v>
      </c>
      <c r="AC106" s="1187" t="s">
        <v>312</v>
      </c>
      <c r="AD106" s="1187" t="s">
        <v>313</v>
      </c>
      <c r="AE106" s="1187" t="s">
        <v>314</v>
      </c>
      <c r="AF106" s="1187" t="s">
        <v>315</v>
      </c>
      <c r="AG106" s="1187"/>
      <c r="AH106" s="1187" t="str">
        <f>IF($E$106=0,"",$E$106)</f>
        <v>Тариф на водоотведение</v>
      </c>
      <c r="AI106" s="1187" t="str">
        <f>IF($G$106=0,"",$G$106)</f>
        <v>Водоотведение</v>
      </c>
      <c r="AJ106" s="1187" t="str">
        <f>IF($J$106=0,"",$J$106)</f>
        <v>С использованием централизованной системы водоотведения на территории МО "Силикатненское городское поселение" Сенгилеевского района Ульяновской области</v>
      </c>
      <c r="AK106" s="1187" t="str">
        <f>IF($K$106="нет","без дифференциации",IF($N$106=0,"",$N$106))</f>
        <v>Территория 1</v>
      </c>
      <c r="AL106" s="1187" t="str">
        <f>IF($O$106="нет","без дифференциации",IF($R$106=0,"",$R$106))</f>
        <v>без дифференциации</v>
      </c>
      <c r="AM106" s="1187" t="str">
        <f>IF($S$106="нет","без дифференциации",IF($V$106=0,"",$V$106))</f>
        <v>без дифференциации</v>
      </c>
      <c r="AN106" s="1187">
        <f>$I$106</f>
        <v>1</v>
      </c>
      <c r="AO106" s="1187" t="str">
        <f>$I$106&amp;"."&amp;$M$106</f>
        <v>1.1</v>
      </c>
      <c r="AP106" s="1187" t="str">
        <f>$I$106&amp;"."&amp;$M$106&amp;"."&amp;$Q$106</f>
        <v>1.1.1</v>
      </c>
      <c r="AQ106" s="1187" t="str">
        <f>$I$106&amp;"."&amp;$M$106&amp;"."&amp;$Q$106&amp;"."&amp;$U$106</f>
        <v>1.1.1.1</v>
      </c>
    </row>
    <row r="107" spans="1:44" s="1861" customFormat="1" ht="17.25" customHeight="1">
      <c r="A107" s="245"/>
      <c r="C107" s="244"/>
      <c r="D107" s="4641"/>
      <c r="E107" s="4643"/>
      <c r="F107" s="4646"/>
      <c r="G107" s="4675" t="s">
        <v>24</v>
      </c>
      <c r="H107" s="4682"/>
      <c r="I107" s="4682"/>
      <c r="J107" s="4681"/>
      <c r="K107" s="4685"/>
      <c r="L107" s="4609"/>
      <c r="M107" s="4609"/>
      <c r="N107" s="4686"/>
      <c r="O107" s="4685"/>
      <c r="P107" s="4609"/>
      <c r="Q107" s="4609"/>
      <c r="R107" s="4688" t="s">
        <v>24</v>
      </c>
      <c r="S107" s="4680"/>
      <c r="T107" s="1864"/>
      <c r="U107" s="1865"/>
      <c r="V107" s="1865"/>
      <c r="W107" s="4681"/>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row>
    <row r="108" spans="1:44" s="1861" customFormat="1" ht="17.25" customHeight="1">
      <c r="A108" s="245"/>
      <c r="C108" s="130"/>
      <c r="D108" s="4641"/>
      <c r="E108" s="4643"/>
      <c r="F108" s="4646"/>
      <c r="G108" s="4675" t="s">
        <v>24</v>
      </c>
      <c r="H108" s="4642"/>
      <c r="I108" s="4642"/>
      <c r="J108" s="4683"/>
      <c r="K108" s="4685"/>
      <c r="L108" s="4642"/>
      <c r="M108" s="4642"/>
      <c r="N108" s="4687"/>
      <c r="O108" s="4613"/>
      <c r="P108" s="1866"/>
      <c r="Q108" s="1867"/>
      <c r="R108" s="1868" t="s">
        <v>316</v>
      </c>
      <c r="S108" s="1869"/>
      <c r="T108" s="1870"/>
      <c r="U108" s="1871"/>
      <c r="V108" s="1872"/>
      <c r="W108" s="1873"/>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row>
    <row r="109" spans="1:44" s="1861" customFormat="1" ht="17.25" customHeight="1">
      <c r="A109" s="245"/>
      <c r="C109" s="244"/>
      <c r="D109" s="4641"/>
      <c r="E109" s="4643"/>
      <c r="F109" s="4646"/>
      <c r="G109" s="4675" t="s">
        <v>24</v>
      </c>
      <c r="H109" s="4642"/>
      <c r="I109" s="4642"/>
      <c r="J109" s="4683"/>
      <c r="K109" s="4613"/>
      <c r="L109" s="1874"/>
      <c r="M109" s="1875"/>
      <c r="N109" s="1876" t="s">
        <v>317</v>
      </c>
      <c r="O109" s="1877"/>
      <c r="P109" s="1878"/>
      <c r="Q109" s="1879"/>
      <c r="R109" s="1880"/>
      <c r="S109" s="1881"/>
      <c r="T109" s="1882"/>
      <c r="U109" s="1883"/>
      <c r="V109" s="1884"/>
      <c r="W109" s="1885"/>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row>
    <row r="110" spans="1:44" ht="17.25" customHeight="1">
      <c r="A110" s="1750"/>
      <c r="B110" s="1886"/>
      <c r="C110" s="1752"/>
      <c r="D110" s="4673"/>
      <c r="E110" s="4674"/>
      <c r="F110" s="4646"/>
      <c r="G110" s="4676"/>
      <c r="H110" s="4682" t="s">
        <v>102</v>
      </c>
      <c r="I110" s="4682" t="s">
        <v>101</v>
      </c>
      <c r="J110" s="4681" t="s">
        <v>318</v>
      </c>
      <c r="K110" s="4684" t="s">
        <v>65</v>
      </c>
      <c r="L110" s="4609"/>
      <c r="M110" s="4609" t="s">
        <v>174</v>
      </c>
      <c r="N110" s="4686" t="str">
        <f>IF(Z110="","",INDEX(TERRITORY_MR_LIST,MATCH(Z110,TERRITORY_LIST_ID,0)))</f>
        <v>Территория 1</v>
      </c>
      <c r="O110" s="4684" t="s">
        <v>55</v>
      </c>
      <c r="P110" s="4609"/>
      <c r="Q110" s="4609" t="s">
        <v>174</v>
      </c>
      <c r="R110" s="4688" t="s">
        <v>24</v>
      </c>
      <c r="S110" s="4680" t="s">
        <v>55</v>
      </c>
      <c r="T110" s="1714"/>
      <c r="U110" s="1714" t="s">
        <v>174</v>
      </c>
      <c r="V110" s="1350"/>
      <c r="W110" s="4681"/>
      <c r="X110" s="1886"/>
      <c r="Y110" s="1187"/>
      <c r="Z110" s="1187" t="s">
        <v>96</v>
      </c>
      <c r="AA110" s="1187"/>
      <c r="AB110" s="1187"/>
      <c r="AC110" s="1887" t="s">
        <v>312</v>
      </c>
      <c r="AD110" s="1187" t="s">
        <v>319</v>
      </c>
      <c r="AE110" s="1187" t="s">
        <v>320</v>
      </c>
      <c r="AF110" s="1187" t="s">
        <v>321</v>
      </c>
      <c r="AG110" s="1187" t="s">
        <v>322</v>
      </c>
      <c r="AH110" s="1187" t="str">
        <f>IF($E$106=0,"",$E$106)</f>
        <v>Тариф на водоотведение</v>
      </c>
      <c r="AI110" s="1187" t="str">
        <f>IF($G$106=0,"",$G$106)</f>
        <v>Водоотведение</v>
      </c>
      <c r="AJ110" s="1187" t="str">
        <f>IF($J$110=0,"",$J$110)</f>
        <v>С использованием централизованной системы водоотведения на территории МО "Красногуляевское городское поселение" Сенглиеевского района Ульяновской области</v>
      </c>
      <c r="AK110" s="1187" t="str">
        <f>IF($K$110="нет","без дифференциации",IF($N$110=0,"",$N$110))</f>
        <v>Территория 1</v>
      </c>
      <c r="AL110" s="1754" t="str">
        <f>IF($O$110="нет","без дифференциации",IF($R$110=0,"",$R$110))</f>
        <v>без дифференциации</v>
      </c>
      <c r="AM110" s="1754"/>
      <c r="AN110" s="1187" t="str">
        <f>$I$110</f>
        <v>2</v>
      </c>
      <c r="AO110" s="1187" t="str">
        <f>$I$110&amp;"."&amp;$M$110</f>
        <v>2.1</v>
      </c>
      <c r="AP110" s="1187" t="str">
        <f>$I$110&amp;"."&amp;$M$110&amp;"."&amp;$Q$110</f>
        <v>2.1.1</v>
      </c>
      <c r="AQ110" s="1187"/>
      <c r="AR110" s="1886"/>
    </row>
    <row r="111" spans="1:44" ht="17.25" customHeight="1">
      <c r="A111" s="1750"/>
      <c r="B111" s="1886"/>
      <c r="C111" s="1755"/>
      <c r="D111" s="4673"/>
      <c r="E111" s="4674"/>
      <c r="F111" s="4646"/>
      <c r="G111" s="4676"/>
      <c r="H111" s="4682"/>
      <c r="I111" s="4682"/>
      <c r="J111" s="4681"/>
      <c r="K111" s="4685"/>
      <c r="L111" s="4609"/>
      <c r="M111" s="4609"/>
      <c r="N111" s="4686"/>
      <c r="O111" s="4685"/>
      <c r="P111" s="4609"/>
      <c r="Q111" s="4609"/>
      <c r="R111" s="4688" t="s">
        <v>24</v>
      </c>
      <c r="S111" s="4680"/>
      <c r="T111" s="1351"/>
      <c r="U111" s="1352"/>
      <c r="V111" s="1352"/>
      <c r="W111" s="4681"/>
      <c r="X111" s="1886"/>
      <c r="Y111" s="1180"/>
      <c r="Z111" s="1180"/>
      <c r="AA111" s="1180"/>
      <c r="AB111" s="1180"/>
      <c r="AC111" s="1180"/>
      <c r="AD111" s="1180"/>
      <c r="AE111" s="1180"/>
      <c r="AF111" s="1180"/>
      <c r="AG111" s="1180"/>
      <c r="AH111" s="1180"/>
      <c r="AI111" s="1180"/>
      <c r="AJ111" s="1180"/>
      <c r="AK111" s="1180"/>
      <c r="AL111" s="1886"/>
      <c r="AM111" s="1886"/>
      <c r="AN111" s="1886"/>
      <c r="AO111" s="1886"/>
      <c r="AP111" s="1886"/>
      <c r="AQ111" s="1886"/>
      <c r="AR111" s="1886"/>
    </row>
    <row r="112" spans="1:44" ht="17.25" customHeight="1">
      <c r="A112" s="1750"/>
      <c r="B112" s="1886"/>
      <c r="C112" s="1755"/>
      <c r="D112" s="4673"/>
      <c r="E112" s="4674"/>
      <c r="F112" s="4646"/>
      <c r="G112" s="4676"/>
      <c r="H112" s="4642"/>
      <c r="I112" s="4642"/>
      <c r="J112" s="4683"/>
      <c r="K112" s="4685"/>
      <c r="L112" s="4642"/>
      <c r="M112" s="4642"/>
      <c r="N112" s="4687"/>
      <c r="O112" s="4613"/>
      <c r="P112" s="241"/>
      <c r="Q112" s="242"/>
      <c r="R112" s="242" t="s">
        <v>316</v>
      </c>
      <c r="S112" s="1756"/>
      <c r="T112" s="1756"/>
      <c r="U112" s="1756"/>
      <c r="V112" s="1756"/>
      <c r="W112" s="1349"/>
      <c r="X112" s="1886"/>
      <c r="Y112" s="1180"/>
      <c r="Z112" s="1180"/>
      <c r="AA112" s="1180"/>
      <c r="AB112" s="1180"/>
      <c r="AC112" s="1180"/>
      <c r="AD112" s="1180"/>
      <c r="AE112" s="1180"/>
      <c r="AF112" s="1180"/>
      <c r="AG112" s="1180"/>
      <c r="AH112" s="1180"/>
      <c r="AI112" s="1180"/>
      <c r="AJ112" s="1180"/>
      <c r="AK112" s="1180"/>
      <c r="AL112" s="1886"/>
      <c r="AM112" s="1886"/>
      <c r="AN112" s="1886"/>
      <c r="AO112" s="1886"/>
      <c r="AP112" s="1886"/>
      <c r="AQ112" s="1886"/>
      <c r="AR112" s="1886"/>
    </row>
    <row r="113" spans="1:44" ht="17.25" customHeight="1">
      <c r="A113" s="1750"/>
      <c r="B113" s="1886"/>
      <c r="C113" s="1755"/>
      <c r="D113" s="4673"/>
      <c r="E113" s="4674"/>
      <c r="F113" s="4646"/>
      <c r="G113" s="4676"/>
      <c r="H113" s="4642"/>
      <c r="I113" s="4642"/>
      <c r="J113" s="4683"/>
      <c r="K113" s="4613"/>
      <c r="L113" s="241"/>
      <c r="M113" s="242"/>
      <c r="N113" s="242" t="s">
        <v>317</v>
      </c>
      <c r="O113" s="242"/>
      <c r="P113" s="242"/>
      <c r="Q113" s="242"/>
      <c r="R113" s="242"/>
      <c r="S113" s="1756"/>
      <c r="T113" s="1756"/>
      <c r="U113" s="1756"/>
      <c r="V113" s="1756"/>
      <c r="W113" s="243"/>
      <c r="X113" s="1886"/>
      <c r="Y113" s="1180"/>
      <c r="Z113" s="1180"/>
      <c r="AA113" s="1180"/>
      <c r="AB113" s="1180"/>
      <c r="AC113" s="1180"/>
      <c r="AD113" s="1180"/>
      <c r="AE113" s="1180"/>
      <c r="AF113" s="1180"/>
      <c r="AG113" s="1180"/>
      <c r="AH113" s="1180"/>
      <c r="AI113" s="1180"/>
      <c r="AJ113" s="1180"/>
      <c r="AK113" s="1180"/>
      <c r="AL113" s="1886"/>
      <c r="AM113" s="1886"/>
      <c r="AN113" s="1886"/>
      <c r="AO113" s="1886"/>
      <c r="AP113" s="1886"/>
      <c r="AQ113" s="1886"/>
      <c r="AR113" s="1886"/>
    </row>
    <row r="114" spans="1:44" ht="17.25" customHeight="1">
      <c r="A114" s="1750"/>
      <c r="B114" s="1886"/>
      <c r="C114" s="1752"/>
      <c r="D114" s="4673"/>
      <c r="E114" s="4674"/>
      <c r="F114" s="4646"/>
      <c r="G114" s="4676"/>
      <c r="H114" s="4682" t="s">
        <v>102</v>
      </c>
      <c r="I114" s="4682" t="s">
        <v>88</v>
      </c>
      <c r="J114" s="4681" t="s">
        <v>323</v>
      </c>
      <c r="K114" s="4684" t="s">
        <v>65</v>
      </c>
      <c r="L114" s="4609"/>
      <c r="M114" s="4609" t="s">
        <v>174</v>
      </c>
      <c r="N114" s="4686" t="str">
        <f>IF(Z114="","",INDEX(TERRITORY_MR_LIST,MATCH(Z114,TERRITORY_LIST_ID,0)))</f>
        <v>Территория 2</v>
      </c>
      <c r="O114" s="4684" t="s">
        <v>55</v>
      </c>
      <c r="P114" s="4609"/>
      <c r="Q114" s="4609" t="s">
        <v>174</v>
      </c>
      <c r="R114" s="4688" t="s">
        <v>24</v>
      </c>
      <c r="S114" s="4680" t="s">
        <v>55</v>
      </c>
      <c r="T114" s="1714"/>
      <c r="U114" s="1714" t="s">
        <v>174</v>
      </c>
      <c r="V114" s="1350"/>
      <c r="W114" s="4681"/>
      <c r="X114" s="1886"/>
      <c r="Y114" s="1187"/>
      <c r="Z114" s="1187" t="s">
        <v>107</v>
      </c>
      <c r="AA114" s="1187"/>
      <c r="AB114" s="1187"/>
      <c r="AC114" s="1887" t="s">
        <v>312</v>
      </c>
      <c r="AD114" s="1187" t="s">
        <v>324</v>
      </c>
      <c r="AE114" s="1187" t="s">
        <v>325</v>
      </c>
      <c r="AF114" s="1187" t="s">
        <v>326</v>
      </c>
      <c r="AG114" s="1187" t="s">
        <v>327</v>
      </c>
      <c r="AH114" s="1187" t="str">
        <f>IF($E$106=0,"",$E$106)</f>
        <v>Тариф на водоотведение</v>
      </c>
      <c r="AI114" s="1187" t="str">
        <f>IF($G$106=0,"",$G$106)</f>
        <v>Водоотведение</v>
      </c>
      <c r="AJ114" s="1187" t="str">
        <f>IF($J$114=0,"",$J$114)</f>
        <v>С использованием централизованной системы водоотведения на территории МО "Ишеевское городское поселение" Ульяновского района Ульяновской области</v>
      </c>
      <c r="AK114" s="1187" t="str">
        <f>IF($K$114="нет","без дифференциации",IF($N$114=0,"",$N$114))</f>
        <v>Территория 2</v>
      </c>
      <c r="AL114" s="1754" t="str">
        <f>IF($O$114="нет","без дифференциации",IF($R$114=0,"",$R$114))</f>
        <v>без дифференциации</v>
      </c>
      <c r="AM114" s="1754"/>
      <c r="AN114" s="1187" t="str">
        <f>$I$114</f>
        <v>3</v>
      </c>
      <c r="AO114" s="1187" t="str">
        <f>$I$114&amp;"."&amp;$M$114</f>
        <v>3.1</v>
      </c>
      <c r="AP114" s="1187" t="str">
        <f>$I$114&amp;"."&amp;$M$114&amp;"."&amp;$Q$114</f>
        <v>3.1.1</v>
      </c>
      <c r="AQ114" s="1187"/>
      <c r="AR114" s="1886"/>
    </row>
    <row r="115" spans="1:44" ht="17.25" customHeight="1">
      <c r="A115" s="1750"/>
      <c r="B115" s="1886"/>
      <c r="C115" s="1755"/>
      <c r="D115" s="4673"/>
      <c r="E115" s="4674"/>
      <c r="F115" s="4646"/>
      <c r="G115" s="4676"/>
      <c r="H115" s="4682"/>
      <c r="I115" s="4682"/>
      <c r="J115" s="4681"/>
      <c r="K115" s="4685"/>
      <c r="L115" s="4609"/>
      <c r="M115" s="4609"/>
      <c r="N115" s="4686"/>
      <c r="O115" s="4685"/>
      <c r="P115" s="4609"/>
      <c r="Q115" s="4609"/>
      <c r="R115" s="4688" t="s">
        <v>24</v>
      </c>
      <c r="S115" s="4680"/>
      <c r="T115" s="1351"/>
      <c r="U115" s="1352"/>
      <c r="V115" s="1352"/>
      <c r="W115" s="4681"/>
      <c r="X115" s="1886"/>
      <c r="Y115" s="1180"/>
      <c r="Z115" s="1180"/>
      <c r="AA115" s="1180"/>
      <c r="AB115" s="1180"/>
      <c r="AC115" s="1180"/>
      <c r="AD115" s="1180"/>
      <c r="AE115" s="1180"/>
      <c r="AF115" s="1180"/>
      <c r="AG115" s="1180"/>
      <c r="AH115" s="1180"/>
      <c r="AI115" s="1180"/>
      <c r="AJ115" s="1180"/>
      <c r="AK115" s="1180"/>
      <c r="AL115" s="1886"/>
      <c r="AM115" s="1886"/>
      <c r="AN115" s="1886"/>
      <c r="AO115" s="1886"/>
      <c r="AP115" s="1886"/>
      <c r="AQ115" s="1886"/>
      <c r="AR115" s="1886"/>
    </row>
    <row r="116" spans="1:44" ht="17.25" customHeight="1">
      <c r="A116" s="1750"/>
      <c r="B116" s="1886"/>
      <c r="C116" s="1755"/>
      <c r="D116" s="4673"/>
      <c r="E116" s="4674"/>
      <c r="F116" s="4646"/>
      <c r="G116" s="4676"/>
      <c r="H116" s="4642"/>
      <c r="I116" s="4642"/>
      <c r="J116" s="4683"/>
      <c r="K116" s="4685"/>
      <c r="L116" s="4642"/>
      <c r="M116" s="4642"/>
      <c r="N116" s="4687"/>
      <c r="O116" s="4613"/>
      <c r="P116" s="241"/>
      <c r="Q116" s="242"/>
      <c r="R116" s="242" t="s">
        <v>316</v>
      </c>
      <c r="S116" s="1756"/>
      <c r="T116" s="1756"/>
      <c r="U116" s="1756"/>
      <c r="V116" s="1756"/>
      <c r="W116" s="1349"/>
      <c r="X116" s="1886"/>
      <c r="Y116" s="1180"/>
      <c r="Z116" s="1180"/>
      <c r="AA116" s="1180"/>
      <c r="AB116" s="1180"/>
      <c r="AC116" s="1180"/>
      <c r="AD116" s="1180"/>
      <c r="AE116" s="1180"/>
      <c r="AF116" s="1180"/>
      <c r="AG116" s="1180"/>
      <c r="AH116" s="1180"/>
      <c r="AI116" s="1180"/>
      <c r="AJ116" s="1180"/>
      <c r="AK116" s="1180"/>
      <c r="AL116" s="1886"/>
      <c r="AM116" s="1886"/>
      <c r="AN116" s="1886"/>
      <c r="AO116" s="1886"/>
      <c r="AP116" s="1886"/>
      <c r="AQ116" s="1886"/>
      <c r="AR116" s="1886"/>
    </row>
    <row r="117" spans="1:44" ht="17.25" customHeight="1">
      <c r="A117" s="1750"/>
      <c r="B117" s="1886"/>
      <c r="C117" s="1755"/>
      <c r="D117" s="4673"/>
      <c r="E117" s="4674"/>
      <c r="F117" s="4646"/>
      <c r="G117" s="4676"/>
      <c r="H117" s="4642"/>
      <c r="I117" s="4642"/>
      <c r="J117" s="4683"/>
      <c r="K117" s="4613"/>
      <c r="L117" s="241"/>
      <c r="M117" s="242"/>
      <c r="N117" s="242" t="s">
        <v>317</v>
      </c>
      <c r="O117" s="242"/>
      <c r="P117" s="242"/>
      <c r="Q117" s="242"/>
      <c r="R117" s="242"/>
      <c r="S117" s="1756"/>
      <c r="T117" s="1756"/>
      <c r="U117" s="1756"/>
      <c r="V117" s="1756"/>
      <c r="W117" s="243"/>
      <c r="X117" s="1886"/>
      <c r="Y117" s="1180"/>
      <c r="Z117" s="1180"/>
      <c r="AA117" s="1180"/>
      <c r="AB117" s="1180"/>
      <c r="AC117" s="1180"/>
      <c r="AD117" s="1180"/>
      <c r="AE117" s="1180"/>
      <c r="AF117" s="1180"/>
      <c r="AG117" s="1180"/>
      <c r="AH117" s="1180"/>
      <c r="AI117" s="1180"/>
      <c r="AJ117" s="1180"/>
      <c r="AK117" s="1180"/>
      <c r="AL117" s="1886"/>
      <c r="AM117" s="1886"/>
      <c r="AN117" s="1886"/>
      <c r="AO117" s="1886"/>
      <c r="AP117" s="1886"/>
      <c r="AQ117" s="1886"/>
      <c r="AR117" s="1886"/>
    </row>
    <row r="118" spans="1:44" ht="17.25" customHeight="1">
      <c r="A118" s="1750"/>
      <c r="B118" s="1886"/>
      <c r="C118" s="1752"/>
      <c r="D118" s="4673"/>
      <c r="E118" s="4674"/>
      <c r="F118" s="4646"/>
      <c r="G118" s="4676"/>
      <c r="H118" s="4682" t="s">
        <v>102</v>
      </c>
      <c r="I118" s="4682" t="s">
        <v>89</v>
      </c>
      <c r="J118" s="4681" t="s">
        <v>328</v>
      </c>
      <c r="K118" s="4684" t="s">
        <v>65</v>
      </c>
      <c r="L118" s="4609"/>
      <c r="M118" s="4609" t="s">
        <v>174</v>
      </c>
      <c r="N118" s="4686" t="str">
        <f>IF(Z118="","",INDEX(TERRITORY_MR_LIST,MATCH(Z118,TERRITORY_LIST_ID,0)))</f>
        <v>Территория 2</v>
      </c>
      <c r="O118" s="4684" t="s">
        <v>55</v>
      </c>
      <c r="P118" s="4609"/>
      <c r="Q118" s="4609" t="s">
        <v>174</v>
      </c>
      <c r="R118" s="4688" t="s">
        <v>24</v>
      </c>
      <c r="S118" s="4680" t="s">
        <v>55</v>
      </c>
      <c r="T118" s="1714"/>
      <c r="U118" s="1714" t="s">
        <v>174</v>
      </c>
      <c r="V118" s="1350"/>
      <c r="W118" s="4681"/>
      <c r="X118" s="1886"/>
      <c r="Y118" s="1187"/>
      <c r="Z118" s="1187" t="s">
        <v>107</v>
      </c>
      <c r="AA118" s="1187"/>
      <c r="AB118" s="1187"/>
      <c r="AC118" s="1887" t="s">
        <v>312</v>
      </c>
      <c r="AD118" s="1187" t="s">
        <v>329</v>
      </c>
      <c r="AE118" s="1187" t="s">
        <v>330</v>
      </c>
      <c r="AF118" s="1187" t="s">
        <v>331</v>
      </c>
      <c r="AG118" s="1187" t="s">
        <v>332</v>
      </c>
      <c r="AH118" s="1187" t="str">
        <f>IF($E$106=0,"",$E$106)</f>
        <v>Тариф на водоотведение</v>
      </c>
      <c r="AI118" s="1187" t="str">
        <f>IF($G$106=0,"",$G$106)</f>
        <v>Водоотведение</v>
      </c>
      <c r="AJ118" s="1187" t="str">
        <f>IF($J$118=0,"",$J$118)</f>
        <v>С использованием централизованной системы водоотведения на территории МО "Зеленорощинское сельское поселение" Ульяновского района Ульяновской области</v>
      </c>
      <c r="AK118" s="1187" t="str">
        <f>IF($K$118="нет","без дифференциации",IF($N$118=0,"",$N$118))</f>
        <v>Территория 2</v>
      </c>
      <c r="AL118" s="1754" t="str">
        <f>IF($O$118="нет","без дифференциации",IF($R$118=0,"",$R$118))</f>
        <v>без дифференциации</v>
      </c>
      <c r="AM118" s="1754"/>
      <c r="AN118" s="1187" t="str">
        <f>$I$118</f>
        <v>4</v>
      </c>
      <c r="AO118" s="1187" t="str">
        <f>$I$118&amp;"."&amp;$M$118</f>
        <v>4.1</v>
      </c>
      <c r="AP118" s="1187" t="str">
        <f>$I$118&amp;"."&amp;$M$118&amp;"."&amp;$Q$118</f>
        <v>4.1.1</v>
      </c>
      <c r="AQ118" s="1187"/>
      <c r="AR118" s="1886"/>
    </row>
    <row r="119" spans="1:44" ht="17.25" customHeight="1">
      <c r="A119" s="1750"/>
      <c r="B119" s="1886"/>
      <c r="C119" s="1755"/>
      <c r="D119" s="4673"/>
      <c r="E119" s="4674"/>
      <c r="F119" s="4646"/>
      <c r="G119" s="4676"/>
      <c r="H119" s="4682"/>
      <c r="I119" s="4682"/>
      <c r="J119" s="4681"/>
      <c r="K119" s="4685"/>
      <c r="L119" s="4609"/>
      <c r="M119" s="4609"/>
      <c r="N119" s="4686"/>
      <c r="O119" s="4685"/>
      <c r="P119" s="4609"/>
      <c r="Q119" s="4609"/>
      <c r="R119" s="4688" t="s">
        <v>24</v>
      </c>
      <c r="S119" s="4680"/>
      <c r="T119" s="1351"/>
      <c r="U119" s="1352"/>
      <c r="V119" s="1352"/>
      <c r="W119" s="4681"/>
      <c r="X119" s="1886"/>
      <c r="Y119" s="1180"/>
      <c r="Z119" s="1180"/>
      <c r="AA119" s="1180"/>
      <c r="AB119" s="1180"/>
      <c r="AC119" s="1180"/>
      <c r="AD119" s="1180"/>
      <c r="AE119" s="1180"/>
      <c r="AF119" s="1180"/>
      <c r="AG119" s="1180"/>
      <c r="AH119" s="1180"/>
      <c r="AI119" s="1180"/>
      <c r="AJ119" s="1180"/>
      <c r="AK119" s="1180"/>
      <c r="AL119" s="1886"/>
      <c r="AM119" s="1886"/>
      <c r="AN119" s="1886"/>
      <c r="AO119" s="1886"/>
      <c r="AP119" s="1886"/>
      <c r="AQ119" s="1886"/>
      <c r="AR119" s="1886"/>
    </row>
    <row r="120" spans="1:44" ht="17.25" customHeight="1">
      <c r="A120" s="1750"/>
      <c r="B120" s="1886"/>
      <c r="C120" s="1755"/>
      <c r="D120" s="4673"/>
      <c r="E120" s="4674"/>
      <c r="F120" s="4646"/>
      <c r="G120" s="4676"/>
      <c r="H120" s="4642"/>
      <c r="I120" s="4642"/>
      <c r="J120" s="4683"/>
      <c r="K120" s="4685"/>
      <c r="L120" s="4642"/>
      <c r="M120" s="4642"/>
      <c r="N120" s="4687"/>
      <c r="O120" s="4613"/>
      <c r="P120" s="241"/>
      <c r="Q120" s="242"/>
      <c r="R120" s="242" t="s">
        <v>316</v>
      </c>
      <c r="S120" s="1756"/>
      <c r="T120" s="1756"/>
      <c r="U120" s="1756"/>
      <c r="V120" s="1756"/>
      <c r="W120" s="1349"/>
      <c r="X120" s="1886"/>
      <c r="Y120" s="1180"/>
      <c r="Z120" s="1180"/>
      <c r="AA120" s="1180"/>
      <c r="AB120" s="1180"/>
      <c r="AC120" s="1180"/>
      <c r="AD120" s="1180"/>
      <c r="AE120" s="1180"/>
      <c r="AF120" s="1180"/>
      <c r="AG120" s="1180"/>
      <c r="AH120" s="1180"/>
      <c r="AI120" s="1180"/>
      <c r="AJ120" s="1180"/>
      <c r="AK120" s="1180"/>
      <c r="AL120" s="1886"/>
      <c r="AM120" s="1886"/>
      <c r="AN120" s="1886"/>
      <c r="AO120" s="1886"/>
      <c r="AP120" s="1886"/>
      <c r="AQ120" s="1886"/>
      <c r="AR120" s="1886"/>
    </row>
    <row r="121" spans="1:44" ht="17.25" customHeight="1">
      <c r="A121" s="1750"/>
      <c r="B121" s="1886"/>
      <c r="C121" s="1755"/>
      <c r="D121" s="4673"/>
      <c r="E121" s="4674"/>
      <c r="F121" s="4646"/>
      <c r="G121" s="4676"/>
      <c r="H121" s="4642"/>
      <c r="I121" s="4642"/>
      <c r="J121" s="4683"/>
      <c r="K121" s="4613"/>
      <c r="L121" s="241"/>
      <c r="M121" s="242"/>
      <c r="N121" s="242" t="s">
        <v>317</v>
      </c>
      <c r="O121" s="242"/>
      <c r="P121" s="242"/>
      <c r="Q121" s="242"/>
      <c r="R121" s="242"/>
      <c r="S121" s="1756"/>
      <c r="T121" s="1756"/>
      <c r="U121" s="1756"/>
      <c r="V121" s="1756"/>
      <c r="W121" s="243"/>
      <c r="X121" s="1886"/>
      <c r="Y121" s="1180"/>
      <c r="Z121" s="1180"/>
      <c r="AA121" s="1180"/>
      <c r="AB121" s="1180"/>
      <c r="AC121" s="1180"/>
      <c r="AD121" s="1180"/>
      <c r="AE121" s="1180"/>
      <c r="AF121" s="1180"/>
      <c r="AG121" s="1180"/>
      <c r="AH121" s="1180"/>
      <c r="AI121" s="1180"/>
      <c r="AJ121" s="1180"/>
      <c r="AK121" s="1180"/>
      <c r="AL121" s="1886"/>
      <c r="AM121" s="1886"/>
      <c r="AN121" s="1886"/>
      <c r="AO121" s="1886"/>
      <c r="AP121" s="1886"/>
      <c r="AQ121" s="1886"/>
      <c r="AR121" s="1886"/>
    </row>
    <row r="122" spans="1:44" ht="17.25" customHeight="1">
      <c r="A122" s="1750"/>
      <c r="B122" s="1886"/>
      <c r="C122" s="1752"/>
      <c r="D122" s="4673"/>
      <c r="E122" s="4674"/>
      <c r="F122" s="4646"/>
      <c r="G122" s="4676"/>
      <c r="H122" s="4682" t="s">
        <v>102</v>
      </c>
      <c r="I122" s="4682" t="s">
        <v>128</v>
      </c>
      <c r="J122" s="4681" t="s">
        <v>333</v>
      </c>
      <c r="K122" s="4684" t="s">
        <v>65</v>
      </c>
      <c r="L122" s="4609"/>
      <c r="M122" s="4609" t="s">
        <v>174</v>
      </c>
      <c r="N122" s="4686" t="str">
        <f>IF(Z122="","",INDEX(TERRITORY_MR_LIST,MATCH(Z122,TERRITORY_LIST_ID,0)))</f>
        <v>Территория 2</v>
      </c>
      <c r="O122" s="4684" t="s">
        <v>55</v>
      </c>
      <c r="P122" s="4609"/>
      <c r="Q122" s="4609" t="s">
        <v>174</v>
      </c>
      <c r="R122" s="4688" t="s">
        <v>24</v>
      </c>
      <c r="S122" s="4680" t="s">
        <v>55</v>
      </c>
      <c r="T122" s="1714"/>
      <c r="U122" s="1714" t="s">
        <v>174</v>
      </c>
      <c r="V122" s="1350"/>
      <c r="W122" s="4681"/>
      <c r="X122" s="1886"/>
      <c r="Y122" s="1187"/>
      <c r="Z122" s="1187" t="s">
        <v>107</v>
      </c>
      <c r="AA122" s="1187"/>
      <c r="AB122" s="1187"/>
      <c r="AC122" s="1887" t="s">
        <v>312</v>
      </c>
      <c r="AD122" s="1187" t="s">
        <v>334</v>
      </c>
      <c r="AE122" s="1187" t="s">
        <v>335</v>
      </c>
      <c r="AF122" s="1187" t="s">
        <v>336</v>
      </c>
      <c r="AG122" s="1187" t="s">
        <v>337</v>
      </c>
      <c r="AH122" s="1187" t="str">
        <f>IF($E$106=0,"",$E$106)</f>
        <v>Тариф на водоотведение</v>
      </c>
      <c r="AI122" s="1187" t="str">
        <f>IF($G$106=0,"",$G$106)</f>
        <v>Водоотведение</v>
      </c>
      <c r="AJ122" s="1187" t="str">
        <f>IF($J$122=0,"",$J$122)</f>
        <v>С использованием централизованной системы водоотведения на территории МО Большеключищенское сельское поселение" Ульяновского района Ульяновской области</v>
      </c>
      <c r="AK122" s="1187" t="str">
        <f>IF($K$122="нет","без дифференциации",IF($N$122=0,"",$N$122))</f>
        <v>Территория 2</v>
      </c>
      <c r="AL122" s="1754" t="str">
        <f>IF($O$122="нет","без дифференциации",IF($R$122=0,"",$R$122))</f>
        <v>без дифференциации</v>
      </c>
      <c r="AM122" s="1754"/>
      <c r="AN122" s="1187" t="str">
        <f>$I$122</f>
        <v>5</v>
      </c>
      <c r="AO122" s="1187" t="str">
        <f>$I$122&amp;"."&amp;$M$122</f>
        <v>5.1</v>
      </c>
      <c r="AP122" s="1187" t="str">
        <f>$I$122&amp;"."&amp;$M$122&amp;"."&amp;$Q$122</f>
        <v>5.1.1</v>
      </c>
      <c r="AQ122" s="1187"/>
      <c r="AR122" s="1886"/>
    </row>
    <row r="123" spans="1:44" ht="17.25" customHeight="1">
      <c r="A123" s="1750"/>
      <c r="B123" s="1886"/>
      <c r="C123" s="1755"/>
      <c r="D123" s="4673"/>
      <c r="E123" s="4674"/>
      <c r="F123" s="4646"/>
      <c r="G123" s="4676"/>
      <c r="H123" s="4682"/>
      <c r="I123" s="4682"/>
      <c r="J123" s="4681"/>
      <c r="K123" s="4685"/>
      <c r="L123" s="4609"/>
      <c r="M123" s="4609"/>
      <c r="N123" s="4686"/>
      <c r="O123" s="4685"/>
      <c r="P123" s="4609"/>
      <c r="Q123" s="4609"/>
      <c r="R123" s="4688" t="s">
        <v>24</v>
      </c>
      <c r="S123" s="4680"/>
      <c r="T123" s="1351"/>
      <c r="U123" s="1352"/>
      <c r="V123" s="1352"/>
      <c r="W123" s="4681"/>
      <c r="X123" s="1886"/>
      <c r="Y123" s="1180"/>
      <c r="Z123" s="1180"/>
      <c r="AA123" s="1180"/>
      <c r="AB123" s="1180"/>
      <c r="AC123" s="1180"/>
      <c r="AD123" s="1180"/>
      <c r="AE123" s="1180"/>
      <c r="AF123" s="1180"/>
      <c r="AG123" s="1180"/>
      <c r="AH123" s="1180"/>
      <c r="AI123" s="1180"/>
      <c r="AJ123" s="1180"/>
      <c r="AK123" s="1180"/>
      <c r="AL123" s="1886"/>
      <c r="AM123" s="1886"/>
      <c r="AN123" s="1886"/>
      <c r="AO123" s="1886"/>
      <c r="AP123" s="1886"/>
      <c r="AQ123" s="1886"/>
      <c r="AR123" s="1886"/>
    </row>
    <row r="124" spans="1:44" ht="17.25" customHeight="1">
      <c r="A124" s="1750"/>
      <c r="B124" s="1886"/>
      <c r="C124" s="1755"/>
      <c r="D124" s="4673"/>
      <c r="E124" s="4674"/>
      <c r="F124" s="4646"/>
      <c r="G124" s="4676"/>
      <c r="H124" s="4642"/>
      <c r="I124" s="4642"/>
      <c r="J124" s="4683"/>
      <c r="K124" s="4685"/>
      <c r="L124" s="4642"/>
      <c r="M124" s="4642"/>
      <c r="N124" s="4687"/>
      <c r="O124" s="4613"/>
      <c r="P124" s="241"/>
      <c r="Q124" s="242"/>
      <c r="R124" s="242" t="s">
        <v>316</v>
      </c>
      <c r="S124" s="1756"/>
      <c r="T124" s="1756"/>
      <c r="U124" s="1756"/>
      <c r="V124" s="1756"/>
      <c r="W124" s="1349"/>
      <c r="X124" s="1886"/>
      <c r="Y124" s="1180"/>
      <c r="Z124" s="1180"/>
      <c r="AA124" s="1180"/>
      <c r="AB124" s="1180"/>
      <c r="AC124" s="1180"/>
      <c r="AD124" s="1180"/>
      <c r="AE124" s="1180"/>
      <c r="AF124" s="1180"/>
      <c r="AG124" s="1180"/>
      <c r="AH124" s="1180"/>
      <c r="AI124" s="1180"/>
      <c r="AJ124" s="1180"/>
      <c r="AK124" s="1180"/>
      <c r="AL124" s="1886"/>
      <c r="AM124" s="1886"/>
      <c r="AN124" s="1886"/>
      <c r="AO124" s="1886"/>
      <c r="AP124" s="1886"/>
      <c r="AQ124" s="1886"/>
      <c r="AR124" s="1886"/>
    </row>
    <row r="125" spans="1:44" ht="17.25" customHeight="1">
      <c r="A125" s="1750"/>
      <c r="B125" s="1886"/>
      <c r="C125" s="1755"/>
      <c r="D125" s="4673"/>
      <c r="E125" s="4674"/>
      <c r="F125" s="4646"/>
      <c r="G125" s="4676"/>
      <c r="H125" s="4642"/>
      <c r="I125" s="4642"/>
      <c r="J125" s="4683"/>
      <c r="K125" s="4613"/>
      <c r="L125" s="241"/>
      <c r="M125" s="242"/>
      <c r="N125" s="242" t="s">
        <v>317</v>
      </c>
      <c r="O125" s="242"/>
      <c r="P125" s="242"/>
      <c r="Q125" s="242"/>
      <c r="R125" s="242"/>
      <c r="S125" s="1756"/>
      <c r="T125" s="1756"/>
      <c r="U125" s="1756"/>
      <c r="V125" s="1756"/>
      <c r="W125" s="243"/>
      <c r="X125" s="1886"/>
      <c r="Y125" s="1180"/>
      <c r="Z125" s="1180"/>
      <c r="AA125" s="1180"/>
      <c r="AB125" s="1180"/>
      <c r="AC125" s="1180"/>
      <c r="AD125" s="1180"/>
      <c r="AE125" s="1180"/>
      <c r="AF125" s="1180"/>
      <c r="AG125" s="1180"/>
      <c r="AH125" s="1180"/>
      <c r="AI125" s="1180"/>
      <c r="AJ125" s="1180"/>
      <c r="AK125" s="1180"/>
      <c r="AL125" s="1886"/>
      <c r="AM125" s="1886"/>
      <c r="AN125" s="1886"/>
      <c r="AO125" s="1886"/>
      <c r="AP125" s="1886"/>
      <c r="AQ125" s="1886"/>
      <c r="AR125" s="1886"/>
    </row>
    <row r="126" spans="1:44" ht="17.25" customHeight="1">
      <c r="A126" s="1750"/>
      <c r="B126" s="1886"/>
      <c r="C126" s="1752"/>
      <c r="D126" s="4673"/>
      <c r="E126" s="4674"/>
      <c r="F126" s="4646"/>
      <c r="G126" s="4676"/>
      <c r="H126" s="4682" t="s">
        <v>102</v>
      </c>
      <c r="I126" s="4682" t="s">
        <v>90</v>
      </c>
      <c r="J126" s="4681" t="s">
        <v>338</v>
      </c>
      <c r="K126" s="4684" t="s">
        <v>65</v>
      </c>
      <c r="L126" s="4609"/>
      <c r="M126" s="4609" t="s">
        <v>174</v>
      </c>
      <c r="N126" s="4686" t="str">
        <f>IF(Z126="","",INDEX(TERRITORY_MR_LIST,MATCH(Z126,TERRITORY_LIST_ID,0)))</f>
        <v>Территория 3</v>
      </c>
      <c r="O126" s="4684" t="s">
        <v>55</v>
      </c>
      <c r="P126" s="4609"/>
      <c r="Q126" s="4609" t="s">
        <v>174</v>
      </c>
      <c r="R126" s="4688" t="s">
        <v>24</v>
      </c>
      <c r="S126" s="4680" t="s">
        <v>55</v>
      </c>
      <c r="T126" s="1714"/>
      <c r="U126" s="1714" t="s">
        <v>174</v>
      </c>
      <c r="V126" s="1350"/>
      <c r="W126" s="4681"/>
      <c r="X126" s="1886"/>
      <c r="Y126" s="1187"/>
      <c r="Z126" s="1187" t="s">
        <v>118</v>
      </c>
      <c r="AA126" s="1187"/>
      <c r="AB126" s="1187"/>
      <c r="AC126" s="1887" t="s">
        <v>312</v>
      </c>
      <c r="AD126" s="1187" t="s">
        <v>339</v>
      </c>
      <c r="AE126" s="1187" t="s">
        <v>340</v>
      </c>
      <c r="AF126" s="1187" t="s">
        <v>341</v>
      </c>
      <c r="AG126" s="1187" t="s">
        <v>342</v>
      </c>
      <c r="AH126" s="1187" t="str">
        <f>IF($E$106=0,"",$E$106)</f>
        <v>Тариф на водоотведение</v>
      </c>
      <c r="AI126" s="1187" t="str">
        <f>IF($G$106=0,"",$G$106)</f>
        <v>Водоотведение</v>
      </c>
      <c r="AJ126" s="1187" t="str">
        <f>IF($J$126=0,"",$J$126)</f>
        <v>С использованием централизованной системы водоотведения на территории МО "Тереньгульское городское поселение" Тереньгульского района Ульяновской области</v>
      </c>
      <c r="AK126" s="1187" t="str">
        <f>IF($K$126="нет","без дифференциации",IF($N$126=0,"",$N$126))</f>
        <v>Территория 3</v>
      </c>
      <c r="AL126" s="1754" t="str">
        <f>IF($O$126="нет","без дифференциации",IF($R$126=0,"",$R$126))</f>
        <v>без дифференциации</v>
      </c>
      <c r="AM126" s="1754"/>
      <c r="AN126" s="1187" t="str">
        <f>$I$126</f>
        <v>6</v>
      </c>
      <c r="AO126" s="1187" t="str">
        <f>$I$126&amp;"."&amp;$M$126</f>
        <v>6.1</v>
      </c>
      <c r="AP126" s="1187" t="str">
        <f>$I$126&amp;"."&amp;$M$126&amp;"."&amp;$Q$126</f>
        <v>6.1.1</v>
      </c>
      <c r="AQ126" s="1187"/>
      <c r="AR126" s="1886"/>
    </row>
    <row r="127" spans="1:44" ht="17.25" customHeight="1">
      <c r="A127" s="1750"/>
      <c r="B127" s="1886"/>
      <c r="C127" s="1755"/>
      <c r="D127" s="4673"/>
      <c r="E127" s="4674"/>
      <c r="F127" s="4646"/>
      <c r="G127" s="4676"/>
      <c r="H127" s="4682"/>
      <c r="I127" s="4682"/>
      <c r="J127" s="4681"/>
      <c r="K127" s="4685"/>
      <c r="L127" s="4609"/>
      <c r="M127" s="4609"/>
      <c r="N127" s="4686"/>
      <c r="O127" s="4685"/>
      <c r="P127" s="4609"/>
      <c r="Q127" s="4609"/>
      <c r="R127" s="4688" t="s">
        <v>24</v>
      </c>
      <c r="S127" s="4680"/>
      <c r="T127" s="1351"/>
      <c r="U127" s="1352"/>
      <c r="V127" s="1352"/>
      <c r="W127" s="4681"/>
      <c r="X127" s="1886"/>
      <c r="Y127" s="1180"/>
      <c r="Z127" s="1180"/>
      <c r="AA127" s="1180"/>
      <c r="AB127" s="1180"/>
      <c r="AC127" s="1180"/>
      <c r="AD127" s="1180"/>
      <c r="AE127" s="1180"/>
      <c r="AF127" s="1180"/>
      <c r="AG127" s="1180"/>
      <c r="AH127" s="1180"/>
      <c r="AI127" s="1180"/>
      <c r="AJ127" s="1180"/>
      <c r="AK127" s="1180"/>
      <c r="AL127" s="1886"/>
      <c r="AM127" s="1886"/>
      <c r="AN127" s="1886"/>
      <c r="AO127" s="1886"/>
      <c r="AP127" s="1886"/>
      <c r="AQ127" s="1886"/>
      <c r="AR127" s="1886"/>
    </row>
    <row r="128" spans="1:44" ht="17.25" customHeight="1">
      <c r="A128" s="1750"/>
      <c r="B128" s="1886"/>
      <c r="C128" s="1755"/>
      <c r="D128" s="4673"/>
      <c r="E128" s="4674"/>
      <c r="F128" s="4646"/>
      <c r="G128" s="4676"/>
      <c r="H128" s="4642"/>
      <c r="I128" s="4642"/>
      <c r="J128" s="4683"/>
      <c r="K128" s="4685"/>
      <c r="L128" s="4642"/>
      <c r="M128" s="4642"/>
      <c r="N128" s="4687"/>
      <c r="O128" s="4613"/>
      <c r="P128" s="241"/>
      <c r="Q128" s="242"/>
      <c r="R128" s="242" t="s">
        <v>316</v>
      </c>
      <c r="S128" s="1756"/>
      <c r="T128" s="1756"/>
      <c r="U128" s="1756"/>
      <c r="V128" s="1756"/>
      <c r="W128" s="1349"/>
      <c r="X128" s="1886"/>
      <c r="Y128" s="1180"/>
      <c r="Z128" s="1180"/>
      <c r="AA128" s="1180"/>
      <c r="AB128" s="1180"/>
      <c r="AC128" s="1180"/>
      <c r="AD128" s="1180"/>
      <c r="AE128" s="1180"/>
      <c r="AF128" s="1180"/>
      <c r="AG128" s="1180"/>
      <c r="AH128" s="1180"/>
      <c r="AI128" s="1180"/>
      <c r="AJ128" s="1180"/>
      <c r="AK128" s="1180"/>
      <c r="AL128" s="1886"/>
      <c r="AM128" s="1886"/>
      <c r="AN128" s="1886"/>
      <c r="AO128" s="1886"/>
      <c r="AP128" s="1886"/>
      <c r="AQ128" s="1886"/>
      <c r="AR128" s="1886"/>
    </row>
    <row r="129" spans="1:44" ht="17.25" customHeight="1">
      <c r="A129" s="1750"/>
      <c r="B129" s="1886"/>
      <c r="C129" s="1755"/>
      <c r="D129" s="4673"/>
      <c r="E129" s="4674"/>
      <c r="F129" s="4646"/>
      <c r="G129" s="4676"/>
      <c r="H129" s="4642"/>
      <c r="I129" s="4642"/>
      <c r="J129" s="4683"/>
      <c r="K129" s="4613"/>
      <c r="L129" s="241"/>
      <c r="M129" s="242"/>
      <c r="N129" s="242" t="s">
        <v>317</v>
      </c>
      <c r="O129" s="242"/>
      <c r="P129" s="242"/>
      <c r="Q129" s="242"/>
      <c r="R129" s="242"/>
      <c r="S129" s="1756"/>
      <c r="T129" s="1756"/>
      <c r="U129" s="1756"/>
      <c r="V129" s="1756"/>
      <c r="W129" s="243"/>
      <c r="X129" s="1886"/>
      <c r="Y129" s="1180"/>
      <c r="Z129" s="1180"/>
      <c r="AA129" s="1180"/>
      <c r="AB129" s="1180"/>
      <c r="AC129" s="1180"/>
      <c r="AD129" s="1180"/>
      <c r="AE129" s="1180"/>
      <c r="AF129" s="1180"/>
      <c r="AG129" s="1180"/>
      <c r="AH129" s="1180"/>
      <c r="AI129" s="1180"/>
      <c r="AJ129" s="1180"/>
      <c r="AK129" s="1180"/>
      <c r="AL129" s="1886"/>
      <c r="AM129" s="1886"/>
      <c r="AN129" s="1886"/>
      <c r="AO129" s="1886"/>
      <c r="AP129" s="1886"/>
      <c r="AQ129" s="1886"/>
      <c r="AR129" s="1886"/>
    </row>
    <row r="130" spans="1:44" ht="17.25" customHeight="1">
      <c r="A130" s="1750"/>
      <c r="B130" s="1886"/>
      <c r="C130" s="1752"/>
      <c r="D130" s="4673"/>
      <c r="E130" s="4674"/>
      <c r="F130" s="4646"/>
      <c r="G130" s="4676"/>
      <c r="H130" s="4682" t="s">
        <v>102</v>
      </c>
      <c r="I130" s="4682" t="s">
        <v>91</v>
      </c>
      <c r="J130" s="4681" t="s">
        <v>343</v>
      </c>
      <c r="K130" s="4684" t="s">
        <v>65</v>
      </c>
      <c r="L130" s="4609"/>
      <c r="M130" s="4609" t="s">
        <v>174</v>
      </c>
      <c r="N130" s="4686" t="str">
        <f>IF(Z130="","",INDEX(TERRITORY_MR_LIST,MATCH(Z130,TERRITORY_LIST_ID,0)))</f>
        <v>Территория 4</v>
      </c>
      <c r="O130" s="4684" t="s">
        <v>55</v>
      </c>
      <c r="P130" s="4609"/>
      <c r="Q130" s="4609" t="s">
        <v>174</v>
      </c>
      <c r="R130" s="4688" t="s">
        <v>24</v>
      </c>
      <c r="S130" s="4680" t="s">
        <v>55</v>
      </c>
      <c r="T130" s="1714"/>
      <c r="U130" s="1714" t="s">
        <v>174</v>
      </c>
      <c r="V130" s="1350"/>
      <c r="W130" s="4681"/>
      <c r="X130" s="1886"/>
      <c r="Y130" s="1187"/>
      <c r="Z130" s="1187" t="s">
        <v>123</v>
      </c>
      <c r="AA130" s="1187"/>
      <c r="AB130" s="1187"/>
      <c r="AC130" s="1887" t="s">
        <v>312</v>
      </c>
      <c r="AD130" s="1187" t="s">
        <v>344</v>
      </c>
      <c r="AE130" s="1187" t="s">
        <v>345</v>
      </c>
      <c r="AF130" s="1187" t="s">
        <v>346</v>
      </c>
      <c r="AG130" s="1187" t="s">
        <v>347</v>
      </c>
      <c r="AH130" s="1187" t="str">
        <f>IF($E$106=0,"",$E$106)</f>
        <v>Тариф на водоотведение</v>
      </c>
      <c r="AI130" s="1187" t="str">
        <f>IF($G$106=0,"",$G$106)</f>
        <v>Водоотведение</v>
      </c>
      <c r="AJ130" s="1187" t="str">
        <f>IF($J$130=0,"",$J$130)</f>
        <v>С использованием централизованной системы водоотведения на территории МО "Майнское городское поселение" Майнского района Ульяновской области</v>
      </c>
      <c r="AK130" s="1187" t="str">
        <f>IF($K$130="нет","без дифференциации",IF($N$130=0,"",$N$130))</f>
        <v>Территория 4</v>
      </c>
      <c r="AL130" s="1754" t="str">
        <f>IF($O$130="нет","без дифференциации",IF($R$130=0,"",$R$130))</f>
        <v>без дифференциации</v>
      </c>
      <c r="AM130" s="1754"/>
      <c r="AN130" s="1187" t="str">
        <f>$I$130</f>
        <v>7</v>
      </c>
      <c r="AO130" s="1187" t="str">
        <f>$I$130&amp;"."&amp;$M$130</f>
        <v>7.1</v>
      </c>
      <c r="AP130" s="1187" t="str">
        <f>$I$130&amp;"."&amp;$M$130&amp;"."&amp;$Q$130</f>
        <v>7.1.1</v>
      </c>
      <c r="AQ130" s="1187"/>
      <c r="AR130" s="1886"/>
    </row>
    <row r="131" spans="1:44" ht="17.25" customHeight="1">
      <c r="A131" s="1750"/>
      <c r="B131" s="1886"/>
      <c r="C131" s="1755"/>
      <c r="D131" s="4673"/>
      <c r="E131" s="4674"/>
      <c r="F131" s="4646"/>
      <c r="G131" s="4676"/>
      <c r="H131" s="4682"/>
      <c r="I131" s="4682"/>
      <c r="J131" s="4681"/>
      <c r="K131" s="4685"/>
      <c r="L131" s="4609"/>
      <c r="M131" s="4609"/>
      <c r="N131" s="4686"/>
      <c r="O131" s="4685"/>
      <c r="P131" s="4609"/>
      <c r="Q131" s="4609"/>
      <c r="R131" s="4688" t="s">
        <v>24</v>
      </c>
      <c r="S131" s="4680"/>
      <c r="T131" s="1351"/>
      <c r="U131" s="1352"/>
      <c r="V131" s="1352"/>
      <c r="W131" s="4681"/>
      <c r="X131" s="1886"/>
      <c r="Y131" s="1180"/>
      <c r="Z131" s="1180"/>
      <c r="AA131" s="1180"/>
      <c r="AB131" s="1180"/>
      <c r="AC131" s="1180"/>
      <c r="AD131" s="1180"/>
      <c r="AE131" s="1180"/>
      <c r="AF131" s="1180"/>
      <c r="AG131" s="1180"/>
      <c r="AH131" s="1180"/>
      <c r="AI131" s="1180"/>
      <c r="AJ131" s="1180"/>
      <c r="AK131" s="1180"/>
      <c r="AL131" s="1886"/>
      <c r="AM131" s="1886"/>
      <c r="AN131" s="1886"/>
      <c r="AO131" s="1886"/>
      <c r="AP131" s="1886"/>
      <c r="AQ131" s="1886"/>
      <c r="AR131" s="1886"/>
    </row>
    <row r="132" spans="1:44" ht="17.25" customHeight="1">
      <c r="A132" s="1750"/>
      <c r="B132" s="1886"/>
      <c r="C132" s="1755"/>
      <c r="D132" s="4673"/>
      <c r="E132" s="4674"/>
      <c r="F132" s="4646"/>
      <c r="G132" s="4676"/>
      <c r="H132" s="4642"/>
      <c r="I132" s="4642"/>
      <c r="J132" s="4683"/>
      <c r="K132" s="4685"/>
      <c r="L132" s="4642"/>
      <c r="M132" s="4642"/>
      <c r="N132" s="4687"/>
      <c r="O132" s="4613"/>
      <c r="P132" s="241"/>
      <c r="Q132" s="242"/>
      <c r="R132" s="242" t="s">
        <v>316</v>
      </c>
      <c r="S132" s="1756"/>
      <c r="T132" s="1756"/>
      <c r="U132" s="1756"/>
      <c r="V132" s="1756"/>
      <c r="W132" s="1349"/>
      <c r="X132" s="1886"/>
      <c r="Y132" s="1180"/>
      <c r="Z132" s="1180"/>
      <c r="AA132" s="1180"/>
      <c r="AB132" s="1180"/>
      <c r="AC132" s="1180"/>
      <c r="AD132" s="1180"/>
      <c r="AE132" s="1180"/>
      <c r="AF132" s="1180"/>
      <c r="AG132" s="1180"/>
      <c r="AH132" s="1180"/>
      <c r="AI132" s="1180"/>
      <c r="AJ132" s="1180"/>
      <c r="AK132" s="1180"/>
      <c r="AL132" s="1886"/>
      <c r="AM132" s="1886"/>
      <c r="AN132" s="1886"/>
      <c r="AO132" s="1886"/>
      <c r="AP132" s="1886"/>
      <c r="AQ132" s="1886"/>
      <c r="AR132" s="1886"/>
    </row>
    <row r="133" spans="1:44" ht="17.25" customHeight="1">
      <c r="A133" s="1750"/>
      <c r="B133" s="1886"/>
      <c r="C133" s="1755"/>
      <c r="D133" s="4673"/>
      <c r="E133" s="4674"/>
      <c r="F133" s="4646"/>
      <c r="G133" s="4676"/>
      <c r="H133" s="4642"/>
      <c r="I133" s="4642"/>
      <c r="J133" s="4683"/>
      <c r="K133" s="4613"/>
      <c r="L133" s="241"/>
      <c r="M133" s="242"/>
      <c r="N133" s="242" t="s">
        <v>317</v>
      </c>
      <c r="O133" s="242"/>
      <c r="P133" s="242"/>
      <c r="Q133" s="242"/>
      <c r="R133" s="242"/>
      <c r="S133" s="1756"/>
      <c r="T133" s="1756"/>
      <c r="U133" s="1756"/>
      <c r="V133" s="1756"/>
      <c r="W133" s="243"/>
      <c r="X133" s="1886"/>
      <c r="Y133" s="1180"/>
      <c r="Z133" s="1180"/>
      <c r="AA133" s="1180"/>
      <c r="AB133" s="1180"/>
      <c r="AC133" s="1180"/>
      <c r="AD133" s="1180"/>
      <c r="AE133" s="1180"/>
      <c r="AF133" s="1180"/>
      <c r="AG133" s="1180"/>
      <c r="AH133" s="1180"/>
      <c r="AI133" s="1180"/>
      <c r="AJ133" s="1180"/>
      <c r="AK133" s="1180"/>
      <c r="AL133" s="1886"/>
      <c r="AM133" s="1886"/>
      <c r="AN133" s="1886"/>
      <c r="AO133" s="1886"/>
      <c r="AP133" s="1886"/>
      <c r="AQ133" s="1886"/>
      <c r="AR133" s="1886"/>
    </row>
    <row r="134" spans="1:44" ht="17.25" customHeight="1">
      <c r="A134" s="1750"/>
      <c r="B134" s="1886"/>
      <c r="C134" s="1752"/>
      <c r="D134" s="4673"/>
      <c r="E134" s="4674"/>
      <c r="F134" s="4646"/>
      <c r="G134" s="4676"/>
      <c r="H134" s="4682" t="s">
        <v>102</v>
      </c>
      <c r="I134" s="4682" t="s">
        <v>138</v>
      </c>
      <c r="J134" s="4681" t="s">
        <v>348</v>
      </c>
      <c r="K134" s="4684" t="s">
        <v>65</v>
      </c>
      <c r="L134" s="4609"/>
      <c r="M134" s="4609" t="s">
        <v>174</v>
      </c>
      <c r="N134" s="4686" t="str">
        <f>IF(Z134="","",INDEX(TERRITORY_MR_LIST,MATCH(Z134,TERRITORY_LIST_ID,0)))</f>
        <v>Территория 5</v>
      </c>
      <c r="O134" s="4684" t="s">
        <v>55</v>
      </c>
      <c r="P134" s="4609"/>
      <c r="Q134" s="4609" t="s">
        <v>174</v>
      </c>
      <c r="R134" s="4688" t="s">
        <v>24</v>
      </c>
      <c r="S134" s="4680" t="s">
        <v>55</v>
      </c>
      <c r="T134" s="1714"/>
      <c r="U134" s="1714" t="s">
        <v>174</v>
      </c>
      <c r="V134" s="1350"/>
      <c r="W134" s="4681"/>
      <c r="X134" s="1886"/>
      <c r="Y134" s="1187"/>
      <c r="Z134" s="1187" t="s">
        <v>129</v>
      </c>
      <c r="AA134" s="1187"/>
      <c r="AB134" s="1187"/>
      <c r="AC134" s="1887" t="s">
        <v>312</v>
      </c>
      <c r="AD134" s="1187" t="s">
        <v>349</v>
      </c>
      <c r="AE134" s="1187" t="s">
        <v>350</v>
      </c>
      <c r="AF134" s="1187" t="s">
        <v>351</v>
      </c>
      <c r="AG134" s="1187" t="s">
        <v>352</v>
      </c>
      <c r="AH134" s="1187" t="str">
        <f>IF($E$106=0,"",$E$106)</f>
        <v>Тариф на водоотведение</v>
      </c>
      <c r="AI134" s="1187" t="str">
        <f>IF($G$106=0,"",$G$106)</f>
        <v>Водоотведение</v>
      </c>
      <c r="AJ134" s="1187" t="str">
        <f>IF($J$134=0,"",$J$134)</f>
        <v>С использованием централизованной системы водоотведения на территории МО "Карсунское городское поселение" Карсунского района Ульяновской области</v>
      </c>
      <c r="AK134" s="1187" t="str">
        <f>IF($K$134="нет","без дифференциации",IF($N$134=0,"",$N$134))</f>
        <v>Территория 5</v>
      </c>
      <c r="AL134" s="1754" t="str">
        <f>IF($O$134="нет","без дифференциации",IF($R$134=0,"",$R$134))</f>
        <v>без дифференциации</v>
      </c>
      <c r="AM134" s="1754"/>
      <c r="AN134" s="1187" t="str">
        <f>$I$134</f>
        <v>8</v>
      </c>
      <c r="AO134" s="1187" t="str">
        <f>$I$134&amp;"."&amp;$M$134</f>
        <v>8.1</v>
      </c>
      <c r="AP134" s="1187" t="str">
        <f>$I$134&amp;"."&amp;$M$134&amp;"."&amp;$Q$134</f>
        <v>8.1.1</v>
      </c>
      <c r="AQ134" s="1187"/>
      <c r="AR134" s="1886"/>
    </row>
    <row r="135" spans="1:44" ht="17.25" customHeight="1">
      <c r="A135" s="1750"/>
      <c r="B135" s="1886"/>
      <c r="C135" s="1755"/>
      <c r="D135" s="4673"/>
      <c r="E135" s="4674"/>
      <c r="F135" s="4646"/>
      <c r="G135" s="4676"/>
      <c r="H135" s="4682"/>
      <c r="I135" s="4682"/>
      <c r="J135" s="4681"/>
      <c r="K135" s="4685"/>
      <c r="L135" s="4609"/>
      <c r="M135" s="4609"/>
      <c r="N135" s="4686"/>
      <c r="O135" s="4685"/>
      <c r="P135" s="4609"/>
      <c r="Q135" s="4609"/>
      <c r="R135" s="4688" t="s">
        <v>24</v>
      </c>
      <c r="S135" s="4680"/>
      <c r="T135" s="1351"/>
      <c r="U135" s="1352"/>
      <c r="V135" s="1352"/>
      <c r="W135" s="4681"/>
      <c r="X135" s="1886"/>
      <c r="Y135" s="1180"/>
      <c r="Z135" s="1180"/>
      <c r="AA135" s="1180"/>
      <c r="AB135" s="1180"/>
      <c r="AC135" s="1180"/>
      <c r="AD135" s="1180"/>
      <c r="AE135" s="1180"/>
      <c r="AF135" s="1180"/>
      <c r="AG135" s="1180"/>
      <c r="AH135" s="1180"/>
      <c r="AI135" s="1180"/>
      <c r="AJ135" s="1180"/>
      <c r="AK135" s="1180"/>
      <c r="AL135" s="1886"/>
      <c r="AM135" s="1886"/>
      <c r="AN135" s="1886"/>
      <c r="AO135" s="1886"/>
      <c r="AP135" s="1886"/>
      <c r="AQ135" s="1886"/>
      <c r="AR135" s="1886"/>
    </row>
    <row r="136" spans="1:44" ht="17.25" customHeight="1">
      <c r="A136" s="1750"/>
      <c r="B136" s="1886"/>
      <c r="C136" s="1755"/>
      <c r="D136" s="4673"/>
      <c r="E136" s="4674"/>
      <c r="F136" s="4646"/>
      <c r="G136" s="4676"/>
      <c r="H136" s="4642"/>
      <c r="I136" s="4642"/>
      <c r="J136" s="4683"/>
      <c r="K136" s="4685"/>
      <c r="L136" s="4642"/>
      <c r="M136" s="4642"/>
      <c r="N136" s="4687"/>
      <c r="O136" s="4613"/>
      <c r="P136" s="241"/>
      <c r="Q136" s="242"/>
      <c r="R136" s="242" t="s">
        <v>316</v>
      </c>
      <c r="S136" s="1756"/>
      <c r="T136" s="1756"/>
      <c r="U136" s="1756"/>
      <c r="V136" s="1756"/>
      <c r="W136" s="1349"/>
      <c r="X136" s="1886"/>
      <c r="Y136" s="1180"/>
      <c r="Z136" s="1180"/>
      <c r="AA136" s="1180"/>
      <c r="AB136" s="1180"/>
      <c r="AC136" s="1180"/>
      <c r="AD136" s="1180"/>
      <c r="AE136" s="1180"/>
      <c r="AF136" s="1180"/>
      <c r="AG136" s="1180"/>
      <c r="AH136" s="1180"/>
      <c r="AI136" s="1180"/>
      <c r="AJ136" s="1180"/>
      <c r="AK136" s="1180"/>
      <c r="AL136" s="1886"/>
      <c r="AM136" s="1886"/>
      <c r="AN136" s="1886"/>
      <c r="AO136" s="1886"/>
      <c r="AP136" s="1886"/>
      <c r="AQ136" s="1886"/>
      <c r="AR136" s="1886"/>
    </row>
    <row r="137" spans="1:44" ht="17.25" customHeight="1">
      <c r="A137" s="1750"/>
      <c r="B137" s="1886"/>
      <c r="C137" s="1755"/>
      <c r="D137" s="4673"/>
      <c r="E137" s="4674"/>
      <c r="F137" s="4646"/>
      <c r="G137" s="4676"/>
      <c r="H137" s="4642"/>
      <c r="I137" s="4642"/>
      <c r="J137" s="4683"/>
      <c r="K137" s="4613"/>
      <c r="L137" s="241"/>
      <c r="M137" s="242"/>
      <c r="N137" s="242" t="s">
        <v>317</v>
      </c>
      <c r="O137" s="242"/>
      <c r="P137" s="242"/>
      <c r="Q137" s="242"/>
      <c r="R137" s="242"/>
      <c r="S137" s="1756"/>
      <c r="T137" s="1756"/>
      <c r="U137" s="1756"/>
      <c r="V137" s="1756"/>
      <c r="W137" s="243"/>
      <c r="X137" s="1886"/>
      <c r="Y137" s="1180"/>
      <c r="Z137" s="1180"/>
      <c r="AA137" s="1180"/>
      <c r="AB137" s="1180"/>
      <c r="AC137" s="1180"/>
      <c r="AD137" s="1180"/>
      <c r="AE137" s="1180"/>
      <c r="AF137" s="1180"/>
      <c r="AG137" s="1180"/>
      <c r="AH137" s="1180"/>
      <c r="AI137" s="1180"/>
      <c r="AJ137" s="1180"/>
      <c r="AK137" s="1180"/>
      <c r="AL137" s="1886"/>
      <c r="AM137" s="1886"/>
      <c r="AN137" s="1886"/>
      <c r="AO137" s="1886"/>
      <c r="AP137" s="1886"/>
      <c r="AQ137" s="1886"/>
      <c r="AR137" s="1886"/>
    </row>
    <row r="138" spans="1:44" ht="17.25" customHeight="1">
      <c r="A138" s="1750"/>
      <c r="B138" s="1886"/>
      <c r="C138" s="1752"/>
      <c r="D138" s="4673"/>
      <c r="E138" s="4674"/>
      <c r="F138" s="4646"/>
      <c r="G138" s="4676"/>
      <c r="H138" s="4682" t="s">
        <v>102</v>
      </c>
      <c r="I138" s="4682" t="s">
        <v>151</v>
      </c>
      <c r="J138" s="4681" t="s">
        <v>353</v>
      </c>
      <c r="K138" s="4684" t="s">
        <v>65</v>
      </c>
      <c r="L138" s="4609"/>
      <c r="M138" s="4609" t="s">
        <v>174</v>
      </c>
      <c r="N138" s="4686" t="str">
        <f>IF(Z138="","",INDEX(TERRITORY_MR_LIST,MATCH(Z138,TERRITORY_LIST_ID,0)))</f>
        <v>Территория 5</v>
      </c>
      <c r="O138" s="4684" t="s">
        <v>55</v>
      </c>
      <c r="P138" s="4609"/>
      <c r="Q138" s="4609" t="s">
        <v>174</v>
      </c>
      <c r="R138" s="4688" t="s">
        <v>24</v>
      </c>
      <c r="S138" s="4680" t="s">
        <v>55</v>
      </c>
      <c r="T138" s="1714"/>
      <c r="U138" s="1714" t="s">
        <v>174</v>
      </c>
      <c r="V138" s="1350"/>
      <c r="W138" s="4681"/>
      <c r="X138" s="1886"/>
      <c r="Y138" s="1187"/>
      <c r="Z138" s="1187" t="s">
        <v>129</v>
      </c>
      <c r="AA138" s="1187"/>
      <c r="AB138" s="1187"/>
      <c r="AC138" s="1887" t="s">
        <v>312</v>
      </c>
      <c r="AD138" s="1187" t="s">
        <v>354</v>
      </c>
      <c r="AE138" s="1187" t="s">
        <v>355</v>
      </c>
      <c r="AF138" s="1187" t="s">
        <v>356</v>
      </c>
      <c r="AG138" s="1187" t="s">
        <v>357</v>
      </c>
      <c r="AH138" s="1187" t="str">
        <f>IF($E$106=0,"",$E$106)</f>
        <v>Тариф на водоотведение</v>
      </c>
      <c r="AI138" s="1187" t="str">
        <f>IF($G$106=0,"",$G$106)</f>
        <v>Водоотведение</v>
      </c>
      <c r="AJ138" s="1187" t="str">
        <f>IF($J$138=0,"",$J$138)</f>
        <v>С использованием централизованной системы водоотведения на территории МО "Языковское городское поселение" Карсунского района Ульяновской области</v>
      </c>
      <c r="AK138" s="1187" t="str">
        <f>IF($K$138="нет","без дифференциации",IF($N$138=0,"",$N$138))</f>
        <v>Территория 5</v>
      </c>
      <c r="AL138" s="1754" t="str">
        <f>IF($O$138="нет","без дифференциации",IF($R$138=0,"",$R$138))</f>
        <v>без дифференциации</v>
      </c>
      <c r="AM138" s="1754"/>
      <c r="AN138" s="1187" t="str">
        <f>$I$138</f>
        <v>9</v>
      </c>
      <c r="AO138" s="1187" t="str">
        <f>$I$138&amp;"."&amp;$M$138</f>
        <v>9.1</v>
      </c>
      <c r="AP138" s="1187" t="str">
        <f>$I$138&amp;"."&amp;$M$138&amp;"."&amp;$Q$138</f>
        <v>9.1.1</v>
      </c>
      <c r="AQ138" s="1187"/>
      <c r="AR138" s="1886"/>
    </row>
    <row r="139" spans="1:44" ht="17.25" customHeight="1">
      <c r="A139" s="1750"/>
      <c r="B139" s="1886"/>
      <c r="C139" s="1755"/>
      <c r="D139" s="4673"/>
      <c r="E139" s="4674"/>
      <c r="F139" s="4646"/>
      <c r="G139" s="4676"/>
      <c r="H139" s="4682"/>
      <c r="I139" s="4682"/>
      <c r="J139" s="4681"/>
      <c r="K139" s="4685"/>
      <c r="L139" s="4609"/>
      <c r="M139" s="4609"/>
      <c r="N139" s="4686"/>
      <c r="O139" s="4685"/>
      <c r="P139" s="4609"/>
      <c r="Q139" s="4609"/>
      <c r="R139" s="4688" t="s">
        <v>24</v>
      </c>
      <c r="S139" s="4680"/>
      <c r="T139" s="1351"/>
      <c r="U139" s="1352"/>
      <c r="V139" s="1352"/>
      <c r="W139" s="4681"/>
      <c r="X139" s="1886"/>
      <c r="Y139" s="1180"/>
      <c r="Z139" s="1180"/>
      <c r="AA139" s="1180"/>
      <c r="AB139" s="1180"/>
      <c r="AC139" s="1180"/>
      <c r="AD139" s="1180"/>
      <c r="AE139" s="1180"/>
      <c r="AF139" s="1180"/>
      <c r="AG139" s="1180"/>
      <c r="AH139" s="1180"/>
      <c r="AI139" s="1180"/>
      <c r="AJ139" s="1180"/>
      <c r="AK139" s="1180"/>
      <c r="AL139" s="1886"/>
      <c r="AM139" s="1886"/>
      <c r="AN139" s="1886"/>
      <c r="AO139" s="1886"/>
      <c r="AP139" s="1886"/>
      <c r="AQ139" s="1886"/>
      <c r="AR139" s="1886"/>
    </row>
    <row r="140" spans="1:44" ht="17.25" customHeight="1">
      <c r="A140" s="1750"/>
      <c r="B140" s="1886"/>
      <c r="C140" s="1755"/>
      <c r="D140" s="4673"/>
      <c r="E140" s="4674"/>
      <c r="F140" s="4646"/>
      <c r="G140" s="4676"/>
      <c r="H140" s="4642"/>
      <c r="I140" s="4642"/>
      <c r="J140" s="4683"/>
      <c r="K140" s="4685"/>
      <c r="L140" s="4642"/>
      <c r="M140" s="4642"/>
      <c r="N140" s="4687"/>
      <c r="O140" s="4613"/>
      <c r="P140" s="241"/>
      <c r="Q140" s="242"/>
      <c r="R140" s="242" t="s">
        <v>316</v>
      </c>
      <c r="S140" s="1756"/>
      <c r="T140" s="1756"/>
      <c r="U140" s="1756"/>
      <c r="V140" s="1756"/>
      <c r="W140" s="1349"/>
      <c r="X140" s="1886"/>
      <c r="Y140" s="1180"/>
      <c r="Z140" s="1180"/>
      <c r="AA140" s="1180"/>
      <c r="AB140" s="1180"/>
      <c r="AC140" s="1180"/>
      <c r="AD140" s="1180"/>
      <c r="AE140" s="1180"/>
      <c r="AF140" s="1180"/>
      <c r="AG140" s="1180"/>
      <c r="AH140" s="1180"/>
      <c r="AI140" s="1180"/>
      <c r="AJ140" s="1180"/>
      <c r="AK140" s="1180"/>
      <c r="AL140" s="1886"/>
      <c r="AM140" s="1886"/>
      <c r="AN140" s="1886"/>
      <c r="AO140" s="1886"/>
      <c r="AP140" s="1886"/>
      <c r="AQ140" s="1886"/>
      <c r="AR140" s="1886"/>
    </row>
    <row r="141" spans="1:44" ht="17.25" customHeight="1">
      <c r="A141" s="1750"/>
      <c r="B141" s="1886"/>
      <c r="C141" s="1755"/>
      <c r="D141" s="4673"/>
      <c r="E141" s="4674"/>
      <c r="F141" s="4646"/>
      <c r="G141" s="4676"/>
      <c r="H141" s="4642"/>
      <c r="I141" s="4642"/>
      <c r="J141" s="4683"/>
      <c r="K141" s="4613"/>
      <c r="L141" s="241"/>
      <c r="M141" s="242"/>
      <c r="N141" s="242" t="s">
        <v>317</v>
      </c>
      <c r="O141" s="242"/>
      <c r="P141" s="242"/>
      <c r="Q141" s="242"/>
      <c r="R141" s="242"/>
      <c r="S141" s="1756"/>
      <c r="T141" s="1756"/>
      <c r="U141" s="1756"/>
      <c r="V141" s="1756"/>
      <c r="W141" s="243"/>
      <c r="X141" s="1886"/>
      <c r="Y141" s="1180"/>
      <c r="Z141" s="1180"/>
      <c r="AA141" s="1180"/>
      <c r="AB141" s="1180"/>
      <c r="AC141" s="1180"/>
      <c r="AD141" s="1180"/>
      <c r="AE141" s="1180"/>
      <c r="AF141" s="1180"/>
      <c r="AG141" s="1180"/>
      <c r="AH141" s="1180"/>
      <c r="AI141" s="1180"/>
      <c r="AJ141" s="1180"/>
      <c r="AK141" s="1180"/>
      <c r="AL141" s="1886"/>
      <c r="AM141" s="1886"/>
      <c r="AN141" s="1886"/>
      <c r="AO141" s="1886"/>
      <c r="AP141" s="1886"/>
      <c r="AQ141" s="1886"/>
      <c r="AR141" s="1886"/>
    </row>
    <row r="142" spans="1:44" ht="17.25" customHeight="1">
      <c r="A142" s="1750"/>
      <c r="B142" s="1886"/>
      <c r="C142" s="1752"/>
      <c r="D142" s="4673"/>
      <c r="E142" s="4674"/>
      <c r="F142" s="4646"/>
      <c r="G142" s="4676"/>
      <c r="H142" s="4682" t="s">
        <v>102</v>
      </c>
      <c r="I142" s="4682" t="s">
        <v>157</v>
      </c>
      <c r="J142" s="4681" t="s">
        <v>358</v>
      </c>
      <c r="K142" s="4684" t="s">
        <v>65</v>
      </c>
      <c r="L142" s="4609"/>
      <c r="M142" s="4609" t="s">
        <v>174</v>
      </c>
      <c r="N142" s="4686" t="str">
        <f>IF(Z142="","",INDEX(TERRITORY_MR_LIST,MATCH(Z142,TERRITORY_LIST_ID,0)))</f>
        <v>Территория 6</v>
      </c>
      <c r="O142" s="4684" t="s">
        <v>55</v>
      </c>
      <c r="P142" s="4609"/>
      <c r="Q142" s="4609" t="s">
        <v>174</v>
      </c>
      <c r="R142" s="4688" t="s">
        <v>24</v>
      </c>
      <c r="S142" s="4680" t="s">
        <v>55</v>
      </c>
      <c r="T142" s="1714"/>
      <c r="U142" s="1714" t="s">
        <v>174</v>
      </c>
      <c r="V142" s="1350"/>
      <c r="W142" s="4681"/>
      <c r="X142" s="1886"/>
      <c r="Y142" s="1187"/>
      <c r="Z142" s="1187" t="s">
        <v>137</v>
      </c>
      <c r="AA142" s="1187"/>
      <c r="AB142" s="1187"/>
      <c r="AC142" s="1887" t="s">
        <v>312</v>
      </c>
      <c r="AD142" s="1187" t="s">
        <v>359</v>
      </c>
      <c r="AE142" s="1187" t="s">
        <v>360</v>
      </c>
      <c r="AF142" s="1187" t="s">
        <v>361</v>
      </c>
      <c r="AG142" s="1187" t="s">
        <v>362</v>
      </c>
      <c r="AH142" s="1187" t="str">
        <f>IF($E$106=0,"",$E$106)</f>
        <v>Тариф на водоотведение</v>
      </c>
      <c r="AI142" s="1187" t="str">
        <f>IF($G$106=0,"",$G$106)</f>
        <v>Водоотведение</v>
      </c>
      <c r="AJ142" s="1187" t="str">
        <f>IF($J$142=0,"",$J$142)</f>
        <v>С использованием централизованной системы водоотведения на территории МО "Барышское городское поселение" Барышского района Ульяновской области</v>
      </c>
      <c r="AK142" s="1187" t="str">
        <f>IF($K$142="нет","без дифференциации",IF($N$142=0,"",$N$142))</f>
        <v>Территория 6</v>
      </c>
      <c r="AL142" s="1754" t="str">
        <f>IF($O$142="нет","без дифференциации",IF($R$142=0,"",$R$142))</f>
        <v>без дифференциации</v>
      </c>
      <c r="AM142" s="1754"/>
      <c r="AN142" s="1187" t="str">
        <f>$I$142</f>
        <v>10</v>
      </c>
      <c r="AO142" s="1187" t="str">
        <f>$I$142&amp;"."&amp;$M$142</f>
        <v>10.1</v>
      </c>
      <c r="AP142" s="1187" t="str">
        <f>$I$142&amp;"."&amp;$M$142&amp;"."&amp;$Q$142</f>
        <v>10.1.1</v>
      </c>
      <c r="AQ142" s="1187"/>
      <c r="AR142" s="1886"/>
    </row>
    <row r="143" spans="1:44" ht="17.25" customHeight="1">
      <c r="A143" s="1750"/>
      <c r="B143" s="1886"/>
      <c r="C143" s="1755"/>
      <c r="D143" s="4673"/>
      <c r="E143" s="4674"/>
      <c r="F143" s="4646"/>
      <c r="G143" s="4676"/>
      <c r="H143" s="4682"/>
      <c r="I143" s="4682"/>
      <c r="J143" s="4681"/>
      <c r="K143" s="4685"/>
      <c r="L143" s="4609"/>
      <c r="M143" s="4609"/>
      <c r="N143" s="4686"/>
      <c r="O143" s="4685"/>
      <c r="P143" s="4609"/>
      <c r="Q143" s="4609"/>
      <c r="R143" s="4688" t="s">
        <v>24</v>
      </c>
      <c r="S143" s="4680"/>
      <c r="T143" s="1351"/>
      <c r="U143" s="1352"/>
      <c r="V143" s="1352"/>
      <c r="W143" s="4681"/>
      <c r="X143" s="1886"/>
      <c r="Y143" s="1180"/>
      <c r="Z143" s="1180"/>
      <c r="AA143" s="1180"/>
      <c r="AB143" s="1180"/>
      <c r="AC143" s="1180"/>
      <c r="AD143" s="1180"/>
      <c r="AE143" s="1180"/>
      <c r="AF143" s="1180"/>
      <c r="AG143" s="1180"/>
      <c r="AH143" s="1180"/>
      <c r="AI143" s="1180"/>
      <c r="AJ143" s="1180"/>
      <c r="AK143" s="1180"/>
      <c r="AL143" s="1886"/>
      <c r="AM143" s="1886"/>
      <c r="AN143" s="1886"/>
      <c r="AO143" s="1886"/>
      <c r="AP143" s="1886"/>
      <c r="AQ143" s="1886"/>
      <c r="AR143" s="1886"/>
    </row>
    <row r="144" spans="1:44" ht="17.25" customHeight="1">
      <c r="A144" s="1750"/>
      <c r="B144" s="1886"/>
      <c r="C144" s="1755"/>
      <c r="D144" s="4673"/>
      <c r="E144" s="4674"/>
      <c r="F144" s="4646"/>
      <c r="G144" s="4676"/>
      <c r="H144" s="4642"/>
      <c r="I144" s="4642"/>
      <c r="J144" s="4683"/>
      <c r="K144" s="4685"/>
      <c r="L144" s="4642"/>
      <c r="M144" s="4642"/>
      <c r="N144" s="4687"/>
      <c r="O144" s="4613"/>
      <c r="P144" s="241"/>
      <c r="Q144" s="242"/>
      <c r="R144" s="242" t="s">
        <v>316</v>
      </c>
      <c r="S144" s="1756"/>
      <c r="T144" s="1756"/>
      <c r="U144" s="1756"/>
      <c r="V144" s="1756"/>
      <c r="W144" s="1349"/>
      <c r="X144" s="1886"/>
      <c r="Y144" s="1180"/>
      <c r="Z144" s="1180"/>
      <c r="AA144" s="1180"/>
      <c r="AB144" s="1180"/>
      <c r="AC144" s="1180"/>
      <c r="AD144" s="1180"/>
      <c r="AE144" s="1180"/>
      <c r="AF144" s="1180"/>
      <c r="AG144" s="1180"/>
      <c r="AH144" s="1180"/>
      <c r="AI144" s="1180"/>
      <c r="AJ144" s="1180"/>
      <c r="AK144" s="1180"/>
      <c r="AL144" s="1886"/>
      <c r="AM144" s="1886"/>
      <c r="AN144" s="1886"/>
      <c r="AO144" s="1886"/>
      <c r="AP144" s="1886"/>
      <c r="AQ144" s="1886"/>
      <c r="AR144" s="1886"/>
    </row>
    <row r="145" spans="1:44" ht="17.25" customHeight="1">
      <c r="A145" s="1750"/>
      <c r="B145" s="1886"/>
      <c r="C145" s="1755"/>
      <c r="D145" s="4673"/>
      <c r="E145" s="4674"/>
      <c r="F145" s="4646"/>
      <c r="G145" s="4676"/>
      <c r="H145" s="4642"/>
      <c r="I145" s="4642"/>
      <c r="J145" s="4683"/>
      <c r="K145" s="4613"/>
      <c r="L145" s="241"/>
      <c r="M145" s="242"/>
      <c r="N145" s="242" t="s">
        <v>317</v>
      </c>
      <c r="O145" s="242"/>
      <c r="P145" s="242"/>
      <c r="Q145" s="242"/>
      <c r="R145" s="242"/>
      <c r="S145" s="1756"/>
      <c r="T145" s="1756"/>
      <c r="U145" s="1756"/>
      <c r="V145" s="1756"/>
      <c r="W145" s="243"/>
      <c r="X145" s="1886"/>
      <c r="Y145" s="1180"/>
      <c r="Z145" s="1180"/>
      <c r="AA145" s="1180"/>
      <c r="AB145" s="1180"/>
      <c r="AC145" s="1180"/>
      <c r="AD145" s="1180"/>
      <c r="AE145" s="1180"/>
      <c r="AF145" s="1180"/>
      <c r="AG145" s="1180"/>
      <c r="AH145" s="1180"/>
      <c r="AI145" s="1180"/>
      <c r="AJ145" s="1180"/>
      <c r="AK145" s="1180"/>
      <c r="AL145" s="1886"/>
      <c r="AM145" s="1886"/>
      <c r="AN145" s="1886"/>
      <c r="AO145" s="1886"/>
      <c r="AP145" s="1886"/>
      <c r="AQ145" s="1886"/>
      <c r="AR145" s="1886"/>
    </row>
    <row r="146" spans="1:44" ht="17.25" customHeight="1">
      <c r="A146" s="1750"/>
      <c r="B146" s="1886"/>
      <c r="C146" s="1752"/>
      <c r="D146" s="4673"/>
      <c r="E146" s="4674"/>
      <c r="F146" s="4646"/>
      <c r="G146" s="4676"/>
      <c r="H146" s="4682" t="s">
        <v>102</v>
      </c>
      <c r="I146" s="4682" t="s">
        <v>162</v>
      </c>
      <c r="J146" s="4681" t="s">
        <v>363</v>
      </c>
      <c r="K146" s="4684" t="s">
        <v>65</v>
      </c>
      <c r="L146" s="4609"/>
      <c r="M146" s="4609" t="s">
        <v>174</v>
      </c>
      <c r="N146" s="4686" t="str">
        <f>IF(Z146="","",INDEX(TERRITORY_MR_LIST,MATCH(Z146,TERRITORY_LIST_ID,0)))</f>
        <v>Территория 7</v>
      </c>
      <c r="O146" s="4684" t="s">
        <v>55</v>
      </c>
      <c r="P146" s="4609"/>
      <c r="Q146" s="4609" t="s">
        <v>174</v>
      </c>
      <c r="R146" s="4688" t="s">
        <v>24</v>
      </c>
      <c r="S146" s="4680" t="s">
        <v>55</v>
      </c>
      <c r="T146" s="1714"/>
      <c r="U146" s="1714" t="s">
        <v>174</v>
      </c>
      <c r="V146" s="1350"/>
      <c r="W146" s="4681"/>
      <c r="X146" s="1886"/>
      <c r="Y146" s="1187"/>
      <c r="Z146" s="1187" t="s">
        <v>142</v>
      </c>
      <c r="AA146" s="1187"/>
      <c r="AB146" s="1187"/>
      <c r="AC146" s="1887" t="s">
        <v>312</v>
      </c>
      <c r="AD146" s="1187" t="s">
        <v>364</v>
      </c>
      <c r="AE146" s="1187" t="s">
        <v>365</v>
      </c>
      <c r="AF146" s="1187" t="s">
        <v>366</v>
      </c>
      <c r="AG146" s="1187" t="s">
        <v>367</v>
      </c>
      <c r="AH146" s="1187" t="str">
        <f>IF($E$106=0,"",$E$106)</f>
        <v>Тариф на водоотведение</v>
      </c>
      <c r="AI146" s="1187" t="str">
        <f>IF($G$106=0,"",$G$106)</f>
        <v>Водоотведение</v>
      </c>
      <c r="AJ146" s="1187" t="str">
        <f>IF($J$146=0,"",$J$146)</f>
        <v>С использованием централизованной системы водоотведения на территории МО "Павловское городское поселение" Павловского района Ульяновской области</v>
      </c>
      <c r="AK146" s="1187" t="str">
        <f>IF($K$146="нет","без дифференциации",IF($N$146=0,"",$N$146))</f>
        <v>Территория 7</v>
      </c>
      <c r="AL146" s="1754" t="str">
        <f>IF($O$146="нет","без дифференциации",IF($R$146=0,"",$R$146))</f>
        <v>без дифференциации</v>
      </c>
      <c r="AM146" s="1754"/>
      <c r="AN146" s="1187" t="str">
        <f>$I$146</f>
        <v>11</v>
      </c>
      <c r="AO146" s="1187" t="str">
        <f>$I$146&amp;"."&amp;$M$146</f>
        <v>11.1</v>
      </c>
      <c r="AP146" s="1187" t="str">
        <f>$I$146&amp;"."&amp;$M$146&amp;"."&amp;$Q$146</f>
        <v>11.1.1</v>
      </c>
      <c r="AQ146" s="1187"/>
      <c r="AR146" s="1886"/>
    </row>
    <row r="147" spans="1:44" ht="17.25" customHeight="1">
      <c r="A147" s="1750"/>
      <c r="B147" s="1886"/>
      <c r="C147" s="1755"/>
      <c r="D147" s="4673"/>
      <c r="E147" s="4674"/>
      <c r="F147" s="4646"/>
      <c r="G147" s="4676"/>
      <c r="H147" s="4682"/>
      <c r="I147" s="4682"/>
      <c r="J147" s="4681"/>
      <c r="K147" s="4685"/>
      <c r="L147" s="4609"/>
      <c r="M147" s="4609"/>
      <c r="N147" s="4686"/>
      <c r="O147" s="4685"/>
      <c r="P147" s="4609"/>
      <c r="Q147" s="4609"/>
      <c r="R147" s="4688" t="s">
        <v>24</v>
      </c>
      <c r="S147" s="4680"/>
      <c r="T147" s="1351"/>
      <c r="U147" s="1352"/>
      <c r="V147" s="1352"/>
      <c r="W147" s="4681"/>
      <c r="X147" s="1886"/>
      <c r="Y147" s="1180"/>
      <c r="Z147" s="1180"/>
      <c r="AA147" s="1180"/>
      <c r="AB147" s="1180"/>
      <c r="AC147" s="1180"/>
      <c r="AD147" s="1180"/>
      <c r="AE147" s="1180"/>
      <c r="AF147" s="1180"/>
      <c r="AG147" s="1180"/>
      <c r="AH147" s="1180"/>
      <c r="AI147" s="1180"/>
      <c r="AJ147" s="1180"/>
      <c r="AK147" s="1180"/>
      <c r="AL147" s="1886"/>
      <c r="AM147" s="1886"/>
      <c r="AN147" s="1886"/>
      <c r="AO147" s="1886"/>
      <c r="AP147" s="1886"/>
      <c r="AQ147" s="1886"/>
      <c r="AR147" s="1886"/>
    </row>
    <row r="148" spans="1:44" ht="17.25" customHeight="1">
      <c r="A148" s="1750"/>
      <c r="B148" s="1886"/>
      <c r="C148" s="1755"/>
      <c r="D148" s="4673"/>
      <c r="E148" s="4674"/>
      <c r="F148" s="4646"/>
      <c r="G148" s="4676"/>
      <c r="H148" s="4642"/>
      <c r="I148" s="4642"/>
      <c r="J148" s="4683"/>
      <c r="K148" s="4685"/>
      <c r="L148" s="4642"/>
      <c r="M148" s="4642"/>
      <c r="N148" s="4687"/>
      <c r="O148" s="4613"/>
      <c r="P148" s="241"/>
      <c r="Q148" s="242"/>
      <c r="R148" s="242" t="s">
        <v>316</v>
      </c>
      <c r="S148" s="1756"/>
      <c r="T148" s="1756"/>
      <c r="U148" s="1756"/>
      <c r="V148" s="1756"/>
      <c r="W148" s="1349"/>
      <c r="X148" s="1886"/>
      <c r="Y148" s="1180"/>
      <c r="Z148" s="1180"/>
      <c r="AA148" s="1180"/>
      <c r="AB148" s="1180"/>
      <c r="AC148" s="1180"/>
      <c r="AD148" s="1180"/>
      <c r="AE148" s="1180"/>
      <c r="AF148" s="1180"/>
      <c r="AG148" s="1180"/>
      <c r="AH148" s="1180"/>
      <c r="AI148" s="1180"/>
      <c r="AJ148" s="1180"/>
      <c r="AK148" s="1180"/>
      <c r="AL148" s="1886"/>
      <c r="AM148" s="1886"/>
      <c r="AN148" s="1886"/>
      <c r="AO148" s="1886"/>
      <c r="AP148" s="1886"/>
      <c r="AQ148" s="1886"/>
      <c r="AR148" s="1886"/>
    </row>
    <row r="149" spans="1:44" ht="17.25" customHeight="1">
      <c r="A149" s="1750"/>
      <c r="B149" s="1886"/>
      <c r="C149" s="1755"/>
      <c r="D149" s="4673"/>
      <c r="E149" s="4674"/>
      <c r="F149" s="4646"/>
      <c r="G149" s="4676"/>
      <c r="H149" s="4642"/>
      <c r="I149" s="4642"/>
      <c r="J149" s="4683"/>
      <c r="K149" s="4613"/>
      <c r="L149" s="241"/>
      <c r="M149" s="242"/>
      <c r="N149" s="242" t="s">
        <v>317</v>
      </c>
      <c r="O149" s="242"/>
      <c r="P149" s="242"/>
      <c r="Q149" s="242"/>
      <c r="R149" s="242"/>
      <c r="S149" s="1756"/>
      <c r="T149" s="1756"/>
      <c r="U149" s="1756"/>
      <c r="V149" s="1756"/>
      <c r="W149" s="243"/>
      <c r="X149" s="1886"/>
      <c r="Y149" s="1180"/>
      <c r="Z149" s="1180"/>
      <c r="AA149" s="1180"/>
      <c r="AB149" s="1180"/>
      <c r="AC149" s="1180"/>
      <c r="AD149" s="1180"/>
      <c r="AE149" s="1180"/>
      <c r="AF149" s="1180"/>
      <c r="AG149" s="1180"/>
      <c r="AH149" s="1180"/>
      <c r="AI149" s="1180"/>
      <c r="AJ149" s="1180"/>
      <c r="AK149" s="1180"/>
      <c r="AL149" s="1886"/>
      <c r="AM149" s="1886"/>
      <c r="AN149" s="1886"/>
      <c r="AO149" s="1886"/>
      <c r="AP149" s="1886"/>
      <c r="AQ149" s="1886"/>
      <c r="AR149" s="1886"/>
    </row>
    <row r="150" spans="1:44" ht="17.25" customHeight="1">
      <c r="A150" s="1750"/>
      <c r="B150" s="1886"/>
      <c r="C150" s="1752"/>
      <c r="D150" s="4673"/>
      <c r="E150" s="4674"/>
      <c r="F150" s="4646"/>
      <c r="G150" s="4676"/>
      <c r="H150" s="4682" t="s">
        <v>102</v>
      </c>
      <c r="I150" s="4682" t="s">
        <v>210</v>
      </c>
      <c r="J150" s="4681" t="s">
        <v>368</v>
      </c>
      <c r="K150" s="4684" t="s">
        <v>65</v>
      </c>
      <c r="L150" s="4609"/>
      <c r="M150" s="4609" t="s">
        <v>174</v>
      </c>
      <c r="N150" s="4686" t="str">
        <f>IF(Z150="","",INDEX(TERRITORY_MR_LIST,MATCH(Z150,TERRITORY_LIST_ID,0)))</f>
        <v>Территория 8</v>
      </c>
      <c r="O150" s="4684" t="s">
        <v>55</v>
      </c>
      <c r="P150" s="4609"/>
      <c r="Q150" s="4609" t="s">
        <v>174</v>
      </c>
      <c r="R150" s="4688" t="s">
        <v>24</v>
      </c>
      <c r="S150" s="4680" t="s">
        <v>55</v>
      </c>
      <c r="T150" s="1714"/>
      <c r="U150" s="1714" t="s">
        <v>174</v>
      </c>
      <c r="V150" s="1350"/>
      <c r="W150" s="4681"/>
      <c r="X150" s="1886"/>
      <c r="Y150" s="1187"/>
      <c r="Z150" s="1187" t="s">
        <v>147</v>
      </c>
      <c r="AA150" s="1187"/>
      <c r="AB150" s="1187"/>
      <c r="AC150" s="1887" t="s">
        <v>312</v>
      </c>
      <c r="AD150" s="1187" t="s">
        <v>369</v>
      </c>
      <c r="AE150" s="1187" t="s">
        <v>370</v>
      </c>
      <c r="AF150" s="1187" t="s">
        <v>371</v>
      </c>
      <c r="AG150" s="1187" t="s">
        <v>372</v>
      </c>
      <c r="AH150" s="1187" t="str">
        <f>IF($E$106=0,"",$E$106)</f>
        <v>Тариф на водоотведение</v>
      </c>
      <c r="AI150" s="1187" t="str">
        <f>IF($G$106=0,"",$G$106)</f>
        <v>Водоотведение</v>
      </c>
      <c r="AJ150" s="1187" t="str">
        <f>IF($J$150=0,"",$J$150)</f>
        <v>С использованием централизованной системы водоотведения на территории города Новоульяновска, посёлка Северный МО "Город Новоульяновск" Ульяновской области</v>
      </c>
      <c r="AK150" s="1187" t="str">
        <f>IF($K$150="нет","без дифференциации",IF($N$150=0,"",$N$150))</f>
        <v>Территория 8</v>
      </c>
      <c r="AL150" s="1754" t="str">
        <f>IF($O$150="нет","без дифференциации",IF($R$150=0,"",$R$150))</f>
        <v>без дифференциации</v>
      </c>
      <c r="AM150" s="1754"/>
      <c r="AN150" s="1187" t="str">
        <f>$I$150</f>
        <v>12</v>
      </c>
      <c r="AO150" s="1187" t="str">
        <f>$I$150&amp;"."&amp;$M$150</f>
        <v>12.1</v>
      </c>
      <c r="AP150" s="1187" t="str">
        <f>$I$150&amp;"."&amp;$M$150&amp;"."&amp;$Q$150</f>
        <v>12.1.1</v>
      </c>
      <c r="AQ150" s="1187"/>
      <c r="AR150" s="1886"/>
    </row>
    <row r="151" spans="1:44" ht="17.25" customHeight="1">
      <c r="A151" s="1750"/>
      <c r="B151" s="1886"/>
      <c r="C151" s="1755"/>
      <c r="D151" s="4673"/>
      <c r="E151" s="4674"/>
      <c r="F151" s="4646"/>
      <c r="G151" s="4676"/>
      <c r="H151" s="4682"/>
      <c r="I151" s="4682"/>
      <c r="J151" s="4681"/>
      <c r="K151" s="4685"/>
      <c r="L151" s="4609"/>
      <c r="M151" s="4609"/>
      <c r="N151" s="4686"/>
      <c r="O151" s="4685"/>
      <c r="P151" s="4609"/>
      <c r="Q151" s="4609"/>
      <c r="R151" s="4688" t="s">
        <v>24</v>
      </c>
      <c r="S151" s="4680"/>
      <c r="T151" s="1351"/>
      <c r="U151" s="1352"/>
      <c r="V151" s="1352"/>
      <c r="W151" s="4681"/>
      <c r="X151" s="1886"/>
      <c r="Y151" s="1180"/>
      <c r="Z151" s="1180"/>
      <c r="AA151" s="1180"/>
      <c r="AB151" s="1180"/>
      <c r="AC151" s="1180"/>
      <c r="AD151" s="1180"/>
      <c r="AE151" s="1180"/>
      <c r="AF151" s="1180"/>
      <c r="AG151" s="1180"/>
      <c r="AH151" s="1180"/>
      <c r="AI151" s="1180"/>
      <c r="AJ151" s="1180"/>
      <c r="AK151" s="1180"/>
      <c r="AL151" s="1886"/>
      <c r="AM151" s="1886"/>
      <c r="AN151" s="1886"/>
      <c r="AO151" s="1886"/>
      <c r="AP151" s="1886"/>
      <c r="AQ151" s="1886"/>
      <c r="AR151" s="1886"/>
    </row>
    <row r="152" spans="1:44" ht="17.25" customHeight="1">
      <c r="A152" s="1750"/>
      <c r="B152" s="1886"/>
      <c r="C152" s="1755"/>
      <c r="D152" s="4673"/>
      <c r="E152" s="4674"/>
      <c r="F152" s="4646"/>
      <c r="G152" s="4676"/>
      <c r="H152" s="4642"/>
      <c r="I152" s="4642"/>
      <c r="J152" s="4683"/>
      <c r="K152" s="4685"/>
      <c r="L152" s="4642"/>
      <c r="M152" s="4642"/>
      <c r="N152" s="4687"/>
      <c r="O152" s="4613"/>
      <c r="P152" s="241"/>
      <c r="Q152" s="242"/>
      <c r="R152" s="242" t="s">
        <v>316</v>
      </c>
      <c r="S152" s="1756"/>
      <c r="T152" s="1756"/>
      <c r="U152" s="1756"/>
      <c r="V152" s="1756"/>
      <c r="W152" s="1349"/>
      <c r="X152" s="1886"/>
      <c r="Y152" s="1180"/>
      <c r="Z152" s="1180"/>
      <c r="AA152" s="1180"/>
      <c r="AB152" s="1180"/>
      <c r="AC152" s="1180"/>
      <c r="AD152" s="1180"/>
      <c r="AE152" s="1180"/>
      <c r="AF152" s="1180"/>
      <c r="AG152" s="1180"/>
      <c r="AH152" s="1180"/>
      <c r="AI152" s="1180"/>
      <c r="AJ152" s="1180"/>
      <c r="AK152" s="1180"/>
      <c r="AL152" s="1886"/>
      <c r="AM152" s="1886"/>
      <c r="AN152" s="1886"/>
      <c r="AO152" s="1886"/>
      <c r="AP152" s="1886"/>
      <c r="AQ152" s="1886"/>
      <c r="AR152" s="1886"/>
    </row>
    <row r="153" spans="1:44" ht="17.25" customHeight="1">
      <c r="A153" s="1750"/>
      <c r="B153" s="1886"/>
      <c r="C153" s="1755"/>
      <c r="D153" s="4673"/>
      <c r="E153" s="4674"/>
      <c r="F153" s="4646"/>
      <c r="G153" s="4676"/>
      <c r="H153" s="4642"/>
      <c r="I153" s="4642"/>
      <c r="J153" s="4683"/>
      <c r="K153" s="4613"/>
      <c r="L153" s="241"/>
      <c r="M153" s="242"/>
      <c r="N153" s="242" t="s">
        <v>317</v>
      </c>
      <c r="O153" s="242"/>
      <c r="P153" s="242"/>
      <c r="Q153" s="242"/>
      <c r="R153" s="242"/>
      <c r="S153" s="1756"/>
      <c r="T153" s="1756"/>
      <c r="U153" s="1756"/>
      <c r="V153" s="1756"/>
      <c r="W153" s="243"/>
      <c r="X153" s="1886"/>
      <c r="Y153" s="1180"/>
      <c r="Z153" s="1180"/>
      <c r="AA153" s="1180"/>
      <c r="AB153" s="1180"/>
      <c r="AC153" s="1180"/>
      <c r="AD153" s="1180"/>
      <c r="AE153" s="1180"/>
      <c r="AF153" s="1180"/>
      <c r="AG153" s="1180"/>
      <c r="AH153" s="1180"/>
      <c r="AI153" s="1180"/>
      <c r="AJ153" s="1180"/>
      <c r="AK153" s="1180"/>
      <c r="AL153" s="1886"/>
      <c r="AM153" s="1886"/>
      <c r="AN153" s="1886"/>
      <c r="AO153" s="1886"/>
      <c r="AP153" s="1886"/>
      <c r="AQ153" s="1886"/>
      <c r="AR153" s="1886"/>
    </row>
    <row r="154" spans="1:44" ht="17.25" customHeight="1">
      <c r="A154" s="1750"/>
      <c r="B154" s="1886"/>
      <c r="C154" s="1752"/>
      <c r="D154" s="4673"/>
      <c r="E154" s="4674"/>
      <c r="F154" s="4646"/>
      <c r="G154" s="4676"/>
      <c r="H154" s="4682" t="s">
        <v>102</v>
      </c>
      <c r="I154" s="4682" t="s">
        <v>211</v>
      </c>
      <c r="J154" s="4681" t="s">
        <v>373</v>
      </c>
      <c r="K154" s="4684" t="s">
        <v>65</v>
      </c>
      <c r="L154" s="4609"/>
      <c r="M154" s="4609" t="s">
        <v>174</v>
      </c>
      <c r="N154" s="4686" t="str">
        <f>IF(Z154="","",INDEX(TERRITORY_MR_LIST,MATCH(Z154,TERRITORY_LIST_ID,0)))</f>
        <v>Территория 8</v>
      </c>
      <c r="O154" s="4684" t="s">
        <v>55</v>
      </c>
      <c r="P154" s="4609"/>
      <c r="Q154" s="4609" t="s">
        <v>174</v>
      </c>
      <c r="R154" s="4688" t="s">
        <v>24</v>
      </c>
      <c r="S154" s="4680" t="s">
        <v>55</v>
      </c>
      <c r="T154" s="1714"/>
      <c r="U154" s="1714" t="s">
        <v>174</v>
      </c>
      <c r="V154" s="1350"/>
      <c r="W154" s="4681"/>
      <c r="X154" s="1886"/>
      <c r="Y154" s="1187"/>
      <c r="Z154" s="1187" t="s">
        <v>147</v>
      </c>
      <c r="AA154" s="1187"/>
      <c r="AB154" s="1187"/>
      <c r="AC154" s="1887" t="s">
        <v>312</v>
      </c>
      <c r="AD154" s="1187" t="s">
        <v>374</v>
      </c>
      <c r="AE154" s="1187" t="s">
        <v>375</v>
      </c>
      <c r="AF154" s="1187" t="s">
        <v>376</v>
      </c>
      <c r="AG154" s="1187" t="s">
        <v>377</v>
      </c>
      <c r="AH154" s="1187" t="str">
        <f>IF($E$106=0,"",$E$106)</f>
        <v>Тариф на водоотведение</v>
      </c>
      <c r="AI154" s="1187" t="str">
        <f>IF($G$106=0,"",$G$106)</f>
        <v>Водоотведение</v>
      </c>
      <c r="AJ154" s="1187" t="str">
        <f>IF($J$154=0,"",$J$154)</f>
        <v>С использованием централизованной системы водоотведения на территории села Криуши МО "Город Новоульяновск" Ульяновской области</v>
      </c>
      <c r="AK154" s="1187" t="str">
        <f>IF($K$154="нет","без дифференциации",IF($N$154=0,"",$N$154))</f>
        <v>Территория 8</v>
      </c>
      <c r="AL154" s="1754" t="str">
        <f>IF($O$154="нет","без дифференциации",IF($R$154=0,"",$R$154))</f>
        <v>без дифференциации</v>
      </c>
      <c r="AM154" s="1754"/>
      <c r="AN154" s="1187" t="str">
        <f>$I$154</f>
        <v>13</v>
      </c>
      <c r="AO154" s="1187" t="str">
        <f>$I$154&amp;"."&amp;$M$154</f>
        <v>13.1</v>
      </c>
      <c r="AP154" s="1187" t="str">
        <f>$I$154&amp;"."&amp;$M$154&amp;"."&amp;$Q$154</f>
        <v>13.1.1</v>
      </c>
      <c r="AQ154" s="1187"/>
      <c r="AR154" s="1886"/>
    </row>
    <row r="155" spans="1:44" ht="17.25" customHeight="1">
      <c r="A155" s="1750"/>
      <c r="B155" s="1886"/>
      <c r="C155" s="1755"/>
      <c r="D155" s="4673"/>
      <c r="E155" s="4674"/>
      <c r="F155" s="4646"/>
      <c r="G155" s="4676"/>
      <c r="H155" s="4682"/>
      <c r="I155" s="4682"/>
      <c r="J155" s="4681"/>
      <c r="K155" s="4685"/>
      <c r="L155" s="4609"/>
      <c r="M155" s="4609"/>
      <c r="N155" s="4686"/>
      <c r="O155" s="4685"/>
      <c r="P155" s="4609"/>
      <c r="Q155" s="4609"/>
      <c r="R155" s="4688" t="s">
        <v>24</v>
      </c>
      <c r="S155" s="4680"/>
      <c r="T155" s="1351"/>
      <c r="U155" s="1352"/>
      <c r="V155" s="1352"/>
      <c r="W155" s="4681"/>
      <c r="X155" s="1886"/>
      <c r="Y155" s="1180"/>
      <c r="Z155" s="1180"/>
      <c r="AA155" s="1180"/>
      <c r="AB155" s="1180"/>
      <c r="AC155" s="1180"/>
      <c r="AD155" s="1180"/>
      <c r="AE155" s="1180"/>
      <c r="AF155" s="1180"/>
      <c r="AG155" s="1180"/>
      <c r="AH155" s="1180"/>
      <c r="AI155" s="1180"/>
      <c r="AJ155" s="1180"/>
      <c r="AK155" s="1180"/>
      <c r="AL155" s="1886"/>
      <c r="AM155" s="1886"/>
      <c r="AN155" s="1886"/>
      <c r="AO155" s="1886"/>
      <c r="AP155" s="1886"/>
      <c r="AQ155" s="1886"/>
      <c r="AR155" s="1886"/>
    </row>
    <row r="156" spans="1:44" ht="17.25" customHeight="1">
      <c r="A156" s="1750"/>
      <c r="B156" s="1886"/>
      <c r="C156" s="1755"/>
      <c r="D156" s="4673"/>
      <c r="E156" s="4674"/>
      <c r="F156" s="4646"/>
      <c r="G156" s="4676"/>
      <c r="H156" s="4642"/>
      <c r="I156" s="4642"/>
      <c r="J156" s="4683"/>
      <c r="K156" s="4685"/>
      <c r="L156" s="4642"/>
      <c r="M156" s="4642"/>
      <c r="N156" s="4687"/>
      <c r="O156" s="4613"/>
      <c r="P156" s="241"/>
      <c r="Q156" s="242"/>
      <c r="R156" s="242" t="s">
        <v>316</v>
      </c>
      <c r="S156" s="1756"/>
      <c r="T156" s="1756"/>
      <c r="U156" s="1756"/>
      <c r="V156" s="1756"/>
      <c r="W156" s="1349"/>
      <c r="X156" s="1886"/>
      <c r="Y156" s="1180"/>
      <c r="Z156" s="1180"/>
      <c r="AA156" s="1180"/>
      <c r="AB156" s="1180"/>
      <c r="AC156" s="1180"/>
      <c r="AD156" s="1180"/>
      <c r="AE156" s="1180"/>
      <c r="AF156" s="1180"/>
      <c r="AG156" s="1180"/>
      <c r="AH156" s="1180"/>
      <c r="AI156" s="1180"/>
      <c r="AJ156" s="1180"/>
      <c r="AK156" s="1180"/>
      <c r="AL156" s="1886"/>
      <c r="AM156" s="1886"/>
      <c r="AN156" s="1886"/>
      <c r="AO156" s="1886"/>
      <c r="AP156" s="1886"/>
      <c r="AQ156" s="1886"/>
      <c r="AR156" s="1886"/>
    </row>
    <row r="157" spans="1:44" ht="17.25" customHeight="1">
      <c r="A157" s="1750"/>
      <c r="B157" s="1886"/>
      <c r="C157" s="1755"/>
      <c r="D157" s="4673"/>
      <c r="E157" s="4674"/>
      <c r="F157" s="4646"/>
      <c r="G157" s="4676"/>
      <c r="H157" s="4642"/>
      <c r="I157" s="4642"/>
      <c r="J157" s="4683"/>
      <c r="K157" s="4613"/>
      <c r="L157" s="241"/>
      <c r="M157" s="242"/>
      <c r="N157" s="242" t="s">
        <v>317</v>
      </c>
      <c r="O157" s="242"/>
      <c r="P157" s="242"/>
      <c r="Q157" s="242"/>
      <c r="R157" s="242"/>
      <c r="S157" s="1756"/>
      <c r="T157" s="1756"/>
      <c r="U157" s="1756"/>
      <c r="V157" s="1756"/>
      <c r="W157" s="243"/>
      <c r="X157" s="1886"/>
      <c r="Y157" s="1180"/>
      <c r="Z157" s="1180"/>
      <c r="AA157" s="1180"/>
      <c r="AB157" s="1180"/>
      <c r="AC157" s="1180"/>
      <c r="AD157" s="1180"/>
      <c r="AE157" s="1180"/>
      <c r="AF157" s="1180"/>
      <c r="AG157" s="1180"/>
      <c r="AH157" s="1180"/>
      <c r="AI157" s="1180"/>
      <c r="AJ157" s="1180"/>
      <c r="AK157" s="1180"/>
      <c r="AL157" s="1886"/>
      <c r="AM157" s="1886"/>
      <c r="AN157" s="1886"/>
      <c r="AO157" s="1886"/>
      <c r="AP157" s="1886"/>
      <c r="AQ157" s="1886"/>
      <c r="AR157" s="1886"/>
    </row>
    <row r="158" spans="1:44" ht="17.25" customHeight="1">
      <c r="A158" s="1750"/>
      <c r="B158" s="1886"/>
      <c r="C158" s="1752"/>
      <c r="D158" s="4673"/>
      <c r="E158" s="4674"/>
      <c r="F158" s="4646"/>
      <c r="G158" s="4676"/>
      <c r="H158" s="4682" t="s">
        <v>102</v>
      </c>
      <c r="I158" s="4682" t="s">
        <v>212</v>
      </c>
      <c r="J158" s="4681" t="s">
        <v>378</v>
      </c>
      <c r="K158" s="4684" t="s">
        <v>65</v>
      </c>
      <c r="L158" s="4609"/>
      <c r="M158" s="4609" t="s">
        <v>174</v>
      </c>
      <c r="N158" s="4686" t="str">
        <f>IF(Z158="","",INDEX(TERRITORY_MR_LIST,MATCH(Z158,TERRITORY_LIST_ID,0)))</f>
        <v>Территория 8</v>
      </c>
      <c r="O158" s="4684" t="s">
        <v>55</v>
      </c>
      <c r="P158" s="4609"/>
      <c r="Q158" s="4609" t="s">
        <v>174</v>
      </c>
      <c r="R158" s="4688" t="s">
        <v>24</v>
      </c>
      <c r="S158" s="4680" t="s">
        <v>55</v>
      </c>
      <c r="T158" s="1714"/>
      <c r="U158" s="1714" t="s">
        <v>174</v>
      </c>
      <c r="V158" s="1350"/>
      <c r="W158" s="4681"/>
      <c r="X158" s="1886"/>
      <c r="Y158" s="1187"/>
      <c r="Z158" s="1187" t="s">
        <v>147</v>
      </c>
      <c r="AA158" s="1187"/>
      <c r="AB158" s="1187"/>
      <c r="AC158" s="1887" t="s">
        <v>312</v>
      </c>
      <c r="AD158" s="1187" t="s">
        <v>379</v>
      </c>
      <c r="AE158" s="1187" t="s">
        <v>380</v>
      </c>
      <c r="AF158" s="1187" t="s">
        <v>381</v>
      </c>
      <c r="AG158" s="1187" t="s">
        <v>382</v>
      </c>
      <c r="AH158" s="1187" t="str">
        <f>IF($E$106=0,"",$E$106)</f>
        <v>Тариф на водоотведение</v>
      </c>
      <c r="AI158" s="1187" t="str">
        <f>IF($G$106=0,"",$G$106)</f>
        <v>Водоотведение</v>
      </c>
      <c r="AJ158" s="1187" t="str">
        <f>IF($J$158=0,"",$J$158)</f>
        <v>С использованием централизованной системы водоотведения на территории посёлка Липки МО "Город Новоульяновск Ульяновской области</v>
      </c>
      <c r="AK158" s="1187" t="str">
        <f>IF($K$158="нет","без дифференциации",IF($N$158=0,"",$N$158))</f>
        <v>Территория 8</v>
      </c>
      <c r="AL158" s="1754" t="str">
        <f>IF($O$158="нет","без дифференциации",IF($R$158=0,"",$R$158))</f>
        <v>без дифференциации</v>
      </c>
      <c r="AM158" s="1754"/>
      <c r="AN158" s="1187" t="str">
        <f>$I$158</f>
        <v>14</v>
      </c>
      <c r="AO158" s="1187" t="str">
        <f>$I$158&amp;"."&amp;$M$158</f>
        <v>14.1</v>
      </c>
      <c r="AP158" s="1187" t="str">
        <f>$I$158&amp;"."&amp;$M$158&amp;"."&amp;$Q$158</f>
        <v>14.1.1</v>
      </c>
      <c r="AQ158" s="1187"/>
      <c r="AR158" s="1886"/>
    </row>
    <row r="159" spans="1:44" ht="17.25" customHeight="1">
      <c r="A159" s="1750"/>
      <c r="B159" s="1886"/>
      <c r="C159" s="1755"/>
      <c r="D159" s="4673"/>
      <c r="E159" s="4674"/>
      <c r="F159" s="4646"/>
      <c r="G159" s="4676"/>
      <c r="H159" s="4682"/>
      <c r="I159" s="4682"/>
      <c r="J159" s="4681"/>
      <c r="K159" s="4685"/>
      <c r="L159" s="4609"/>
      <c r="M159" s="4609"/>
      <c r="N159" s="4686"/>
      <c r="O159" s="4685"/>
      <c r="P159" s="4609"/>
      <c r="Q159" s="4609"/>
      <c r="R159" s="4688" t="s">
        <v>24</v>
      </c>
      <c r="S159" s="4680"/>
      <c r="T159" s="1351"/>
      <c r="U159" s="1352"/>
      <c r="V159" s="1352"/>
      <c r="W159" s="4681"/>
      <c r="X159" s="1886"/>
      <c r="Y159" s="1180"/>
      <c r="Z159" s="1180"/>
      <c r="AA159" s="1180"/>
      <c r="AB159" s="1180"/>
      <c r="AC159" s="1180"/>
      <c r="AD159" s="1180"/>
      <c r="AE159" s="1180"/>
      <c r="AF159" s="1180"/>
      <c r="AG159" s="1180"/>
      <c r="AH159" s="1180"/>
      <c r="AI159" s="1180"/>
      <c r="AJ159" s="1180"/>
      <c r="AK159" s="1180"/>
      <c r="AL159" s="1886"/>
      <c r="AM159" s="1886"/>
      <c r="AN159" s="1886"/>
      <c r="AO159" s="1886"/>
      <c r="AP159" s="1886"/>
      <c r="AQ159" s="1886"/>
      <c r="AR159" s="1886"/>
    </row>
    <row r="160" spans="1:44" ht="17.25" customHeight="1">
      <c r="A160" s="1750"/>
      <c r="B160" s="1886"/>
      <c r="C160" s="1755"/>
      <c r="D160" s="4673"/>
      <c r="E160" s="4674"/>
      <c r="F160" s="4646"/>
      <c r="G160" s="4676"/>
      <c r="H160" s="4642"/>
      <c r="I160" s="4642"/>
      <c r="J160" s="4683"/>
      <c r="K160" s="4685"/>
      <c r="L160" s="4642"/>
      <c r="M160" s="4642"/>
      <c r="N160" s="4687"/>
      <c r="O160" s="4613"/>
      <c r="P160" s="241"/>
      <c r="Q160" s="242"/>
      <c r="R160" s="242" t="s">
        <v>316</v>
      </c>
      <c r="S160" s="1756"/>
      <c r="T160" s="1756"/>
      <c r="U160" s="1756"/>
      <c r="V160" s="1756"/>
      <c r="W160" s="1349"/>
      <c r="X160" s="1886"/>
      <c r="Y160" s="1180"/>
      <c r="Z160" s="1180"/>
      <c r="AA160" s="1180"/>
      <c r="AB160" s="1180"/>
      <c r="AC160" s="1180"/>
      <c r="AD160" s="1180"/>
      <c r="AE160" s="1180"/>
      <c r="AF160" s="1180"/>
      <c r="AG160" s="1180"/>
      <c r="AH160" s="1180"/>
      <c r="AI160" s="1180"/>
      <c r="AJ160" s="1180"/>
      <c r="AK160" s="1180"/>
      <c r="AL160" s="1886"/>
      <c r="AM160" s="1886"/>
      <c r="AN160" s="1886"/>
      <c r="AO160" s="1886"/>
      <c r="AP160" s="1886"/>
      <c r="AQ160" s="1886"/>
      <c r="AR160" s="1886"/>
    </row>
    <row r="161" spans="1:44" ht="17.25" customHeight="1">
      <c r="A161" s="1750"/>
      <c r="B161" s="1886"/>
      <c r="C161" s="1755"/>
      <c r="D161" s="4673"/>
      <c r="E161" s="4674"/>
      <c r="F161" s="4646"/>
      <c r="G161" s="4676"/>
      <c r="H161" s="4642"/>
      <c r="I161" s="4642"/>
      <c r="J161" s="4683"/>
      <c r="K161" s="4613"/>
      <c r="L161" s="241"/>
      <c r="M161" s="242"/>
      <c r="N161" s="242" t="s">
        <v>317</v>
      </c>
      <c r="O161" s="242"/>
      <c r="P161" s="242"/>
      <c r="Q161" s="242"/>
      <c r="R161" s="242"/>
      <c r="S161" s="1756"/>
      <c r="T161" s="1756"/>
      <c r="U161" s="1756"/>
      <c r="V161" s="1756"/>
      <c r="W161" s="243"/>
      <c r="X161" s="1886"/>
      <c r="Y161" s="1180"/>
      <c r="Z161" s="1180"/>
      <c r="AA161" s="1180"/>
      <c r="AB161" s="1180"/>
      <c r="AC161" s="1180"/>
      <c r="AD161" s="1180"/>
      <c r="AE161" s="1180"/>
      <c r="AF161" s="1180"/>
      <c r="AG161" s="1180"/>
      <c r="AH161" s="1180"/>
      <c r="AI161" s="1180"/>
      <c r="AJ161" s="1180"/>
      <c r="AK161" s="1180"/>
      <c r="AL161" s="1886"/>
      <c r="AM161" s="1886"/>
      <c r="AN161" s="1886"/>
      <c r="AO161" s="1886"/>
      <c r="AP161" s="1886"/>
      <c r="AQ161" s="1886"/>
      <c r="AR161" s="1886"/>
    </row>
    <row r="162" spans="1:44" ht="17.25" customHeight="1">
      <c r="A162" s="1750"/>
      <c r="B162" s="1886"/>
      <c r="C162" s="1752"/>
      <c r="D162" s="4673"/>
      <c r="E162" s="4674"/>
      <c r="F162" s="4646"/>
      <c r="G162" s="4676"/>
      <c r="H162" s="4682" t="s">
        <v>102</v>
      </c>
      <c r="I162" s="4682" t="s">
        <v>383</v>
      </c>
      <c r="J162" s="4681" t="s">
        <v>384</v>
      </c>
      <c r="K162" s="4684" t="s">
        <v>65</v>
      </c>
      <c r="L162" s="4609"/>
      <c r="M162" s="4609" t="s">
        <v>174</v>
      </c>
      <c r="N162" s="4686" t="str">
        <f>IF(Z162="","",INDEX(TERRITORY_MR_LIST,MATCH(Z162,TERRITORY_LIST_ID,0)))</f>
        <v>Территория 8</v>
      </c>
      <c r="O162" s="4684" t="s">
        <v>55</v>
      </c>
      <c r="P162" s="4609"/>
      <c r="Q162" s="4609" t="s">
        <v>174</v>
      </c>
      <c r="R162" s="4688" t="s">
        <v>24</v>
      </c>
      <c r="S162" s="4680" t="s">
        <v>55</v>
      </c>
      <c r="T162" s="1714"/>
      <c r="U162" s="1714" t="s">
        <v>174</v>
      </c>
      <c r="V162" s="1350"/>
      <c r="W162" s="4681"/>
      <c r="X162" s="1886"/>
      <c r="Y162" s="1187"/>
      <c r="Z162" s="1187" t="s">
        <v>147</v>
      </c>
      <c r="AA162" s="1187"/>
      <c r="AB162" s="1187"/>
      <c r="AC162" s="1887" t="s">
        <v>312</v>
      </c>
      <c r="AD162" s="1187" t="s">
        <v>385</v>
      </c>
      <c r="AE162" s="1187" t="s">
        <v>386</v>
      </c>
      <c r="AF162" s="1187" t="s">
        <v>387</v>
      </c>
      <c r="AG162" s="1187" t="s">
        <v>388</v>
      </c>
      <c r="AH162" s="1187" t="str">
        <f>IF($E$106=0,"",$E$106)</f>
        <v>Тариф на водоотведение</v>
      </c>
      <c r="AI162" s="1187" t="str">
        <f>IF($G$106=0,"",$G$106)</f>
        <v>Водоотведение</v>
      </c>
      <c r="AJ162" s="1187" t="str">
        <f>IF($J$162=0,"",$J$162)</f>
        <v>С использованием централизованной системы водоотведения на территории посёлка Меловой МО "Город Новоульяновск" Ульяновской области</v>
      </c>
      <c r="AK162" s="1187" t="str">
        <f>IF($K$162="нет","без дифференциации",IF($N$162=0,"",$N$162))</f>
        <v>Территория 8</v>
      </c>
      <c r="AL162" s="1754" t="str">
        <f>IF($O$162="нет","без дифференциации",IF($R$162=0,"",$R$162))</f>
        <v>без дифференциации</v>
      </c>
      <c r="AM162" s="1754"/>
      <c r="AN162" s="1187" t="str">
        <f>$I$162</f>
        <v>15</v>
      </c>
      <c r="AO162" s="1187" t="str">
        <f>$I$162&amp;"."&amp;$M$162</f>
        <v>15.1</v>
      </c>
      <c r="AP162" s="1187" t="str">
        <f>$I$162&amp;"."&amp;$M$162&amp;"."&amp;$Q$162</f>
        <v>15.1.1</v>
      </c>
      <c r="AQ162" s="1187"/>
      <c r="AR162" s="1886"/>
    </row>
    <row r="163" spans="1:44" ht="17.25" customHeight="1">
      <c r="A163" s="1750"/>
      <c r="B163" s="1886"/>
      <c r="C163" s="1755"/>
      <c r="D163" s="4673"/>
      <c r="E163" s="4674"/>
      <c r="F163" s="4646"/>
      <c r="G163" s="4676"/>
      <c r="H163" s="4682"/>
      <c r="I163" s="4682"/>
      <c r="J163" s="4681"/>
      <c r="K163" s="4685"/>
      <c r="L163" s="4609"/>
      <c r="M163" s="4609"/>
      <c r="N163" s="4686"/>
      <c r="O163" s="4685"/>
      <c r="P163" s="4609"/>
      <c r="Q163" s="4609"/>
      <c r="R163" s="4688" t="s">
        <v>24</v>
      </c>
      <c r="S163" s="4680"/>
      <c r="T163" s="1351"/>
      <c r="U163" s="1352"/>
      <c r="V163" s="1352"/>
      <c r="W163" s="4681"/>
      <c r="X163" s="1886"/>
      <c r="Y163" s="1180"/>
      <c r="Z163" s="1180"/>
      <c r="AA163" s="1180"/>
      <c r="AB163" s="1180"/>
      <c r="AC163" s="1180"/>
      <c r="AD163" s="1180"/>
      <c r="AE163" s="1180"/>
      <c r="AF163" s="1180"/>
      <c r="AG163" s="1180"/>
      <c r="AH163" s="1180"/>
      <c r="AI163" s="1180"/>
      <c r="AJ163" s="1180"/>
      <c r="AK163" s="1180"/>
      <c r="AL163" s="1886"/>
      <c r="AM163" s="1886"/>
      <c r="AN163" s="1886"/>
      <c r="AO163" s="1886"/>
      <c r="AP163" s="1886"/>
      <c r="AQ163" s="1886"/>
      <c r="AR163" s="1886"/>
    </row>
    <row r="164" spans="1:44" ht="17.25" customHeight="1">
      <c r="A164" s="1750"/>
      <c r="B164" s="1886"/>
      <c r="C164" s="1755"/>
      <c r="D164" s="4673"/>
      <c r="E164" s="4674"/>
      <c r="F164" s="4646"/>
      <c r="G164" s="4676"/>
      <c r="H164" s="4642"/>
      <c r="I164" s="4642"/>
      <c r="J164" s="4683"/>
      <c r="K164" s="4685"/>
      <c r="L164" s="4642"/>
      <c r="M164" s="4642"/>
      <c r="N164" s="4687"/>
      <c r="O164" s="4613"/>
      <c r="P164" s="241"/>
      <c r="Q164" s="242"/>
      <c r="R164" s="242" t="s">
        <v>316</v>
      </c>
      <c r="S164" s="1756"/>
      <c r="T164" s="1756"/>
      <c r="U164" s="1756"/>
      <c r="V164" s="1756"/>
      <c r="W164" s="1349"/>
      <c r="X164" s="1886"/>
      <c r="Y164" s="1180"/>
      <c r="Z164" s="1180"/>
      <c r="AA164" s="1180"/>
      <c r="AB164" s="1180"/>
      <c r="AC164" s="1180"/>
      <c r="AD164" s="1180"/>
      <c r="AE164" s="1180"/>
      <c r="AF164" s="1180"/>
      <c r="AG164" s="1180"/>
      <c r="AH164" s="1180"/>
      <c r="AI164" s="1180"/>
      <c r="AJ164" s="1180"/>
      <c r="AK164" s="1180"/>
      <c r="AL164" s="1886"/>
      <c r="AM164" s="1886"/>
      <c r="AN164" s="1886"/>
      <c r="AO164" s="1886"/>
      <c r="AP164" s="1886"/>
      <c r="AQ164" s="1886"/>
      <c r="AR164" s="1886"/>
    </row>
    <row r="165" spans="1:44" ht="17.25" customHeight="1">
      <c r="A165" s="1750"/>
      <c r="B165" s="1886"/>
      <c r="C165" s="1755"/>
      <c r="D165" s="4673"/>
      <c r="E165" s="4674"/>
      <c r="F165" s="4646"/>
      <c r="G165" s="4676"/>
      <c r="H165" s="4642"/>
      <c r="I165" s="4642"/>
      <c r="J165" s="4683"/>
      <c r="K165" s="4613"/>
      <c r="L165" s="241"/>
      <c r="M165" s="242"/>
      <c r="N165" s="242" t="s">
        <v>317</v>
      </c>
      <c r="O165" s="242"/>
      <c r="P165" s="242"/>
      <c r="Q165" s="242"/>
      <c r="R165" s="242"/>
      <c r="S165" s="1756"/>
      <c r="T165" s="1756"/>
      <c r="U165" s="1756"/>
      <c r="V165" s="1756"/>
      <c r="W165" s="243"/>
      <c r="X165" s="1886"/>
      <c r="Y165" s="1180"/>
      <c r="Z165" s="1180"/>
      <c r="AA165" s="1180"/>
      <c r="AB165" s="1180"/>
      <c r="AC165" s="1180"/>
      <c r="AD165" s="1180"/>
      <c r="AE165" s="1180"/>
      <c r="AF165" s="1180"/>
      <c r="AG165" s="1180"/>
      <c r="AH165" s="1180"/>
      <c r="AI165" s="1180"/>
      <c r="AJ165" s="1180"/>
      <c r="AK165" s="1180"/>
      <c r="AL165" s="1886"/>
      <c r="AM165" s="1886"/>
      <c r="AN165" s="1886"/>
      <c r="AO165" s="1886"/>
      <c r="AP165" s="1886"/>
      <c r="AQ165" s="1886"/>
      <c r="AR165" s="1886"/>
    </row>
    <row r="166" spans="1:44" ht="17.25" customHeight="1">
      <c r="A166" s="1750"/>
      <c r="B166" s="1886"/>
      <c r="C166" s="1752"/>
      <c r="D166" s="4673"/>
      <c r="E166" s="4674"/>
      <c r="F166" s="4646"/>
      <c r="G166" s="4676"/>
      <c r="H166" s="4682" t="s">
        <v>102</v>
      </c>
      <c r="I166" s="4682" t="s">
        <v>389</v>
      </c>
      <c r="J166" s="4681" t="s">
        <v>390</v>
      </c>
      <c r="K166" s="4684" t="s">
        <v>65</v>
      </c>
      <c r="L166" s="4609"/>
      <c r="M166" s="4609" t="s">
        <v>174</v>
      </c>
      <c r="N166" s="4686" t="str">
        <f>IF(Z166="","",INDEX(TERRITORY_MR_LIST,MATCH(Z166,TERRITORY_LIST_ID,0)))</f>
        <v>Территория 9</v>
      </c>
      <c r="O166" s="4684" t="s">
        <v>55</v>
      </c>
      <c r="P166" s="4609"/>
      <c r="Q166" s="4609" t="s">
        <v>174</v>
      </c>
      <c r="R166" s="4688" t="s">
        <v>24</v>
      </c>
      <c r="S166" s="4680" t="s">
        <v>55</v>
      </c>
      <c r="T166" s="1714"/>
      <c r="U166" s="1714" t="s">
        <v>174</v>
      </c>
      <c r="V166" s="1350"/>
      <c r="W166" s="4681"/>
      <c r="X166" s="1886"/>
      <c r="Y166" s="1187"/>
      <c r="Z166" s="1187" t="s">
        <v>152</v>
      </c>
      <c r="AA166" s="1187"/>
      <c r="AB166" s="1187"/>
      <c r="AC166" s="1887" t="s">
        <v>312</v>
      </c>
      <c r="AD166" s="1187" t="s">
        <v>391</v>
      </c>
      <c r="AE166" s="1187" t="s">
        <v>392</v>
      </c>
      <c r="AF166" s="1187" t="s">
        <v>393</v>
      </c>
      <c r="AG166" s="1187" t="s">
        <v>394</v>
      </c>
      <c r="AH166" s="1187" t="str">
        <f>IF($E$106=0,"",$E$106)</f>
        <v>Тариф на водоотведение</v>
      </c>
      <c r="AI166" s="1187" t="str">
        <f>IF($G$106=0,"",$G$106)</f>
        <v>Водоотведение</v>
      </c>
      <c r="AJ166" s="1187" t="str">
        <f>IF($J$166=0,"",$J$166)</f>
        <v>С использованием централизованной системы водоотведения на территории МО "Николаевское городское поселение" Николаевского района Ульяновской области</v>
      </c>
      <c r="AK166" s="1187" t="str">
        <f>IF($K$166="нет","без дифференциации",IF($N$166=0,"",$N$166))</f>
        <v>Территория 9</v>
      </c>
      <c r="AL166" s="1754" t="str">
        <f>IF($O$166="нет","без дифференциации",IF($R$166=0,"",$R$166))</f>
        <v>без дифференциации</v>
      </c>
      <c r="AM166" s="1754"/>
      <c r="AN166" s="1187" t="str">
        <f>$I$166</f>
        <v>16</v>
      </c>
      <c r="AO166" s="1187" t="str">
        <f>$I$166&amp;"."&amp;$M$166</f>
        <v>16.1</v>
      </c>
      <c r="AP166" s="1187" t="str">
        <f>$I$166&amp;"."&amp;$M$166&amp;"."&amp;$Q$166</f>
        <v>16.1.1</v>
      </c>
      <c r="AQ166" s="1187"/>
      <c r="AR166" s="1886"/>
    </row>
    <row r="167" spans="1:44" ht="17.25" customHeight="1">
      <c r="A167" s="1750"/>
      <c r="B167" s="1886"/>
      <c r="C167" s="1755"/>
      <c r="D167" s="4673"/>
      <c r="E167" s="4674"/>
      <c r="F167" s="4646"/>
      <c r="G167" s="4676"/>
      <c r="H167" s="4682"/>
      <c r="I167" s="4682"/>
      <c r="J167" s="4681"/>
      <c r="K167" s="4685"/>
      <c r="L167" s="4609"/>
      <c r="M167" s="4609"/>
      <c r="N167" s="4686"/>
      <c r="O167" s="4685"/>
      <c r="P167" s="4609"/>
      <c r="Q167" s="4609"/>
      <c r="R167" s="4688" t="s">
        <v>24</v>
      </c>
      <c r="S167" s="4680"/>
      <c r="T167" s="1351"/>
      <c r="U167" s="1352"/>
      <c r="V167" s="1352"/>
      <c r="W167" s="4681"/>
      <c r="X167" s="1886"/>
      <c r="Y167" s="1180"/>
      <c r="Z167" s="1180"/>
      <c r="AA167" s="1180"/>
      <c r="AB167" s="1180"/>
      <c r="AC167" s="1180"/>
      <c r="AD167" s="1180"/>
      <c r="AE167" s="1180"/>
      <c r="AF167" s="1180"/>
      <c r="AG167" s="1180"/>
      <c r="AH167" s="1180"/>
      <c r="AI167" s="1180"/>
      <c r="AJ167" s="1180"/>
      <c r="AK167" s="1180"/>
      <c r="AL167" s="1886"/>
      <c r="AM167" s="1886"/>
      <c r="AN167" s="1886"/>
      <c r="AO167" s="1886"/>
      <c r="AP167" s="1886"/>
      <c r="AQ167" s="1886"/>
      <c r="AR167" s="1886"/>
    </row>
    <row r="168" spans="1:44" ht="17.25" customHeight="1">
      <c r="A168" s="1750"/>
      <c r="B168" s="1886"/>
      <c r="C168" s="1755"/>
      <c r="D168" s="4673"/>
      <c r="E168" s="4674"/>
      <c r="F168" s="4646"/>
      <c r="G168" s="4676"/>
      <c r="H168" s="4642"/>
      <c r="I168" s="4642"/>
      <c r="J168" s="4683"/>
      <c r="K168" s="4685"/>
      <c r="L168" s="4642"/>
      <c r="M168" s="4642"/>
      <c r="N168" s="4687"/>
      <c r="O168" s="4613"/>
      <c r="P168" s="241"/>
      <c r="Q168" s="242"/>
      <c r="R168" s="242" t="s">
        <v>316</v>
      </c>
      <c r="S168" s="1756"/>
      <c r="T168" s="1756"/>
      <c r="U168" s="1756"/>
      <c r="V168" s="1756"/>
      <c r="W168" s="1349"/>
      <c r="X168" s="1886"/>
      <c r="Y168" s="1180"/>
      <c r="Z168" s="1180"/>
      <c r="AA168" s="1180"/>
      <c r="AB168" s="1180"/>
      <c r="AC168" s="1180"/>
      <c r="AD168" s="1180"/>
      <c r="AE168" s="1180"/>
      <c r="AF168" s="1180"/>
      <c r="AG168" s="1180"/>
      <c r="AH168" s="1180"/>
      <c r="AI168" s="1180"/>
      <c r="AJ168" s="1180"/>
      <c r="AK168" s="1180"/>
      <c r="AL168" s="1886"/>
      <c r="AM168" s="1886"/>
      <c r="AN168" s="1886"/>
      <c r="AO168" s="1886"/>
      <c r="AP168" s="1886"/>
      <c r="AQ168" s="1886"/>
      <c r="AR168" s="1886"/>
    </row>
    <row r="169" spans="1:44" ht="17.25" customHeight="1">
      <c r="A169" s="1750"/>
      <c r="B169" s="1886"/>
      <c r="C169" s="1755"/>
      <c r="D169" s="4673"/>
      <c r="E169" s="4674"/>
      <c r="F169" s="4646"/>
      <c r="G169" s="4676"/>
      <c r="H169" s="4642"/>
      <c r="I169" s="4642"/>
      <c r="J169" s="4683"/>
      <c r="K169" s="4613"/>
      <c r="L169" s="241"/>
      <c r="M169" s="242"/>
      <c r="N169" s="242" t="s">
        <v>317</v>
      </c>
      <c r="O169" s="242"/>
      <c r="P169" s="242"/>
      <c r="Q169" s="242"/>
      <c r="R169" s="242"/>
      <c r="S169" s="1756"/>
      <c r="T169" s="1756"/>
      <c r="U169" s="1756"/>
      <c r="V169" s="1756"/>
      <c r="W169" s="243"/>
      <c r="X169" s="1886"/>
      <c r="Y169" s="1180"/>
      <c r="Z169" s="1180"/>
      <c r="AA169" s="1180"/>
      <c r="AB169" s="1180"/>
      <c r="AC169" s="1180"/>
      <c r="AD169" s="1180"/>
      <c r="AE169" s="1180"/>
      <c r="AF169" s="1180"/>
      <c r="AG169" s="1180"/>
      <c r="AH169" s="1180"/>
      <c r="AI169" s="1180"/>
      <c r="AJ169" s="1180"/>
      <c r="AK169" s="1180"/>
      <c r="AL169" s="1886"/>
      <c r="AM169" s="1886"/>
      <c r="AN169" s="1886"/>
      <c r="AO169" s="1886"/>
      <c r="AP169" s="1886"/>
      <c r="AQ169" s="1886"/>
      <c r="AR169" s="1886"/>
    </row>
    <row r="170" spans="1:44" ht="17.25" customHeight="1">
      <c r="A170" s="1750"/>
      <c r="B170" s="1886"/>
      <c r="C170" s="1752"/>
      <c r="D170" s="4673"/>
      <c r="E170" s="4674"/>
      <c r="F170" s="4646"/>
      <c r="G170" s="4676"/>
      <c r="H170" s="4682" t="s">
        <v>102</v>
      </c>
      <c r="I170" s="4682" t="s">
        <v>395</v>
      </c>
      <c r="J170" s="4681" t="s">
        <v>396</v>
      </c>
      <c r="K170" s="4684" t="s">
        <v>65</v>
      </c>
      <c r="L170" s="4609"/>
      <c r="M170" s="4609" t="s">
        <v>174</v>
      </c>
      <c r="N170" s="4686" t="str">
        <f>IF(Z170="","",INDEX(TERRITORY_MR_LIST,MATCH(Z170,TERRITORY_LIST_ID,0)))</f>
        <v>Территория 10</v>
      </c>
      <c r="O170" s="4684" t="s">
        <v>55</v>
      </c>
      <c r="P170" s="4609"/>
      <c r="Q170" s="4609" t="s">
        <v>174</v>
      </c>
      <c r="R170" s="4688" t="s">
        <v>24</v>
      </c>
      <c r="S170" s="4680" t="s">
        <v>55</v>
      </c>
      <c r="T170" s="1714"/>
      <c r="U170" s="1714" t="s">
        <v>174</v>
      </c>
      <c r="V170" s="1350"/>
      <c r="W170" s="4681"/>
      <c r="X170" s="1886"/>
      <c r="Y170" s="1187"/>
      <c r="Z170" s="1187" t="s">
        <v>158</v>
      </c>
      <c r="AA170" s="1187"/>
      <c r="AB170" s="1187"/>
      <c r="AC170" s="1887" t="s">
        <v>312</v>
      </c>
      <c r="AD170" s="1187" t="s">
        <v>397</v>
      </c>
      <c r="AE170" s="1187" t="s">
        <v>398</v>
      </c>
      <c r="AF170" s="1187" t="s">
        <v>399</v>
      </c>
      <c r="AG170" s="1187" t="s">
        <v>400</v>
      </c>
      <c r="AH170" s="1187" t="str">
        <f>IF($E$106=0,"",$E$106)</f>
        <v>Тариф на водоотведение</v>
      </c>
      <c r="AI170" s="1187" t="str">
        <f>IF($G$106=0,"",$G$106)</f>
        <v>Водоотведение</v>
      </c>
      <c r="AJ170" s="1187" t="str">
        <f>IF($J$170=0,"",$J$170)</f>
        <v>С использованием централизованной системы водоотведения на территории МО "Базарносызганское городское поселение" Базарносызганского района Ульяновской области</v>
      </c>
      <c r="AK170" s="1187" t="str">
        <f>IF($K$170="нет","без дифференциации",IF($N$170=0,"",$N$170))</f>
        <v>Территория 10</v>
      </c>
      <c r="AL170" s="1754" t="str">
        <f>IF($O$170="нет","без дифференциации",IF($R$170=0,"",$R$170))</f>
        <v>без дифференциации</v>
      </c>
      <c r="AM170" s="1754"/>
      <c r="AN170" s="1187" t="str">
        <f>$I$170</f>
        <v>17</v>
      </c>
      <c r="AO170" s="1187" t="str">
        <f>$I$170&amp;"."&amp;$M$170</f>
        <v>17.1</v>
      </c>
      <c r="AP170" s="1187" t="str">
        <f>$I$170&amp;"."&amp;$M$170&amp;"."&amp;$Q$170</f>
        <v>17.1.1</v>
      </c>
      <c r="AQ170" s="1187"/>
      <c r="AR170" s="1886"/>
    </row>
    <row r="171" spans="1:44" ht="17.25" customHeight="1">
      <c r="A171" s="1750"/>
      <c r="B171" s="1886"/>
      <c r="C171" s="1755"/>
      <c r="D171" s="4673"/>
      <c r="E171" s="4674"/>
      <c r="F171" s="4646"/>
      <c r="G171" s="4676"/>
      <c r="H171" s="4682"/>
      <c r="I171" s="4682"/>
      <c r="J171" s="4681"/>
      <c r="K171" s="4685"/>
      <c r="L171" s="4609"/>
      <c r="M171" s="4609"/>
      <c r="N171" s="4686"/>
      <c r="O171" s="4685"/>
      <c r="P171" s="4609"/>
      <c r="Q171" s="4609"/>
      <c r="R171" s="4688" t="s">
        <v>24</v>
      </c>
      <c r="S171" s="4680"/>
      <c r="T171" s="1351"/>
      <c r="U171" s="1352"/>
      <c r="V171" s="1352"/>
      <c r="W171" s="4681"/>
      <c r="X171" s="1886"/>
      <c r="Y171" s="1180"/>
      <c r="Z171" s="1180"/>
      <c r="AA171" s="1180"/>
      <c r="AB171" s="1180"/>
      <c r="AC171" s="1180"/>
      <c r="AD171" s="1180"/>
      <c r="AE171" s="1180"/>
      <c r="AF171" s="1180"/>
      <c r="AG171" s="1180"/>
      <c r="AH171" s="1180"/>
      <c r="AI171" s="1180"/>
      <c r="AJ171" s="1180"/>
      <c r="AK171" s="1180"/>
      <c r="AL171" s="1886"/>
      <c r="AM171" s="1886"/>
      <c r="AN171" s="1886"/>
      <c r="AO171" s="1886"/>
      <c r="AP171" s="1886"/>
      <c r="AQ171" s="1886"/>
      <c r="AR171" s="1886"/>
    </row>
    <row r="172" spans="1:44" ht="17.25" customHeight="1">
      <c r="A172" s="1750"/>
      <c r="B172" s="1886"/>
      <c r="C172" s="1755"/>
      <c r="D172" s="4673"/>
      <c r="E172" s="4674"/>
      <c r="F172" s="4646"/>
      <c r="G172" s="4676"/>
      <c r="H172" s="4642"/>
      <c r="I172" s="4642"/>
      <c r="J172" s="4683"/>
      <c r="K172" s="4685"/>
      <c r="L172" s="4642"/>
      <c r="M172" s="4642"/>
      <c r="N172" s="4687"/>
      <c r="O172" s="4613"/>
      <c r="P172" s="241"/>
      <c r="Q172" s="242"/>
      <c r="R172" s="242" t="s">
        <v>316</v>
      </c>
      <c r="S172" s="1756"/>
      <c r="T172" s="1756"/>
      <c r="U172" s="1756"/>
      <c r="V172" s="1756"/>
      <c r="W172" s="1349"/>
      <c r="X172" s="1886"/>
      <c r="Y172" s="1180"/>
      <c r="Z172" s="1180"/>
      <c r="AA172" s="1180"/>
      <c r="AB172" s="1180"/>
      <c r="AC172" s="1180"/>
      <c r="AD172" s="1180"/>
      <c r="AE172" s="1180"/>
      <c r="AF172" s="1180"/>
      <c r="AG172" s="1180"/>
      <c r="AH172" s="1180"/>
      <c r="AI172" s="1180"/>
      <c r="AJ172" s="1180"/>
      <c r="AK172" s="1180"/>
      <c r="AL172" s="1886"/>
      <c r="AM172" s="1886"/>
      <c r="AN172" s="1886"/>
      <c r="AO172" s="1886"/>
      <c r="AP172" s="1886"/>
      <c r="AQ172" s="1886"/>
      <c r="AR172" s="1886"/>
    </row>
    <row r="173" spans="1:44" ht="17.25" customHeight="1">
      <c r="A173" s="1750"/>
      <c r="B173" s="1886"/>
      <c r="C173" s="1755"/>
      <c r="D173" s="4673"/>
      <c r="E173" s="4674"/>
      <c r="F173" s="4646"/>
      <c r="G173" s="4676"/>
      <c r="H173" s="4642"/>
      <c r="I173" s="4642"/>
      <c r="J173" s="4683"/>
      <c r="K173" s="4613"/>
      <c r="L173" s="241"/>
      <c r="M173" s="242"/>
      <c r="N173" s="242" t="s">
        <v>317</v>
      </c>
      <c r="O173" s="242"/>
      <c r="P173" s="242"/>
      <c r="Q173" s="242"/>
      <c r="R173" s="242"/>
      <c r="S173" s="1756"/>
      <c r="T173" s="1756"/>
      <c r="U173" s="1756"/>
      <c r="V173" s="1756"/>
      <c r="W173" s="243"/>
      <c r="X173" s="1886"/>
      <c r="Y173" s="1180"/>
      <c r="Z173" s="1180"/>
      <c r="AA173" s="1180"/>
      <c r="AB173" s="1180"/>
      <c r="AC173" s="1180"/>
      <c r="AD173" s="1180"/>
      <c r="AE173" s="1180"/>
      <c r="AF173" s="1180"/>
      <c r="AG173" s="1180"/>
      <c r="AH173" s="1180"/>
      <c r="AI173" s="1180"/>
      <c r="AJ173" s="1180"/>
      <c r="AK173" s="1180"/>
      <c r="AL173" s="1886"/>
      <c r="AM173" s="1886"/>
      <c r="AN173" s="1886"/>
      <c r="AO173" s="1886"/>
      <c r="AP173" s="1886"/>
      <c r="AQ173" s="1886"/>
      <c r="AR173" s="1886"/>
    </row>
    <row r="174" spans="1:44" ht="17.25" customHeight="1">
      <c r="A174" s="1750"/>
      <c r="B174" s="1886"/>
      <c r="C174" s="1752"/>
      <c r="D174" s="4673"/>
      <c r="E174" s="4674"/>
      <c r="F174" s="4646"/>
      <c r="G174" s="4676"/>
      <c r="H174" s="4682" t="s">
        <v>102</v>
      </c>
      <c r="I174" s="4682" t="s">
        <v>401</v>
      </c>
      <c r="J174" s="4681" t="s">
        <v>402</v>
      </c>
      <c r="K174" s="4684" t="s">
        <v>65</v>
      </c>
      <c r="L174" s="4609"/>
      <c r="M174" s="4609" t="s">
        <v>174</v>
      </c>
      <c r="N174" s="4686" t="str">
        <f>IF(Z174="","",INDEX(TERRITORY_MR_LIST,MATCH(Z174,TERRITORY_LIST_ID,0)))</f>
        <v>Территория 11</v>
      </c>
      <c r="O174" s="4684" t="s">
        <v>55</v>
      </c>
      <c r="P174" s="4609"/>
      <c r="Q174" s="4609" t="s">
        <v>174</v>
      </c>
      <c r="R174" s="4688" t="s">
        <v>24</v>
      </c>
      <c r="S174" s="4680" t="s">
        <v>55</v>
      </c>
      <c r="T174" s="1714"/>
      <c r="U174" s="1714" t="s">
        <v>174</v>
      </c>
      <c r="V174" s="1350"/>
      <c r="W174" s="4681"/>
      <c r="X174" s="1886"/>
      <c r="Y174" s="1187"/>
      <c r="Z174" s="1187" t="s">
        <v>163</v>
      </c>
      <c r="AA174" s="1187"/>
      <c r="AB174" s="1187"/>
      <c r="AC174" s="1887" t="s">
        <v>312</v>
      </c>
      <c r="AD174" s="1187" t="s">
        <v>403</v>
      </c>
      <c r="AE174" s="1187" t="s">
        <v>404</v>
      </c>
      <c r="AF174" s="1187" t="s">
        <v>405</v>
      </c>
      <c r="AG174" s="1187" t="s">
        <v>406</v>
      </c>
      <c r="AH174" s="1187" t="str">
        <f>IF($E$106=0,"",$E$106)</f>
        <v>Тариф на водоотведение</v>
      </c>
      <c r="AI174" s="1187" t="str">
        <f>IF($G$106=0,"",$G$106)</f>
        <v>Водоотведение</v>
      </c>
      <c r="AJ174" s="1187" t="str">
        <f>IF($J$174=0,"",$J$174)</f>
        <v>С использованием централизованной системы водоотведения на территории МО "Кузоватовское городское поселение" Кузоватовского района Ульяновской области</v>
      </c>
      <c r="AK174" s="1187" t="str">
        <f>IF($K$174="нет","без дифференциации",IF($N$174=0,"",$N$174))</f>
        <v>Территория 11</v>
      </c>
      <c r="AL174" s="1754" t="str">
        <f>IF($O$174="нет","без дифференциации",IF($R$174=0,"",$R$174))</f>
        <v>без дифференциации</v>
      </c>
      <c r="AM174" s="1754"/>
      <c r="AN174" s="1187" t="str">
        <f>$I$174</f>
        <v>18</v>
      </c>
      <c r="AO174" s="1187" t="str">
        <f>$I$174&amp;"."&amp;$M$174</f>
        <v>18.1</v>
      </c>
      <c r="AP174" s="1187" t="str">
        <f>$I$174&amp;"."&amp;$M$174&amp;"."&amp;$Q$174</f>
        <v>18.1.1</v>
      </c>
      <c r="AQ174" s="1187"/>
      <c r="AR174" s="1886"/>
    </row>
    <row r="175" spans="1:44" ht="17.25" customHeight="1">
      <c r="A175" s="1750"/>
      <c r="B175" s="1886"/>
      <c r="C175" s="1755"/>
      <c r="D175" s="4673"/>
      <c r="E175" s="4674"/>
      <c r="F175" s="4646"/>
      <c r="G175" s="4676"/>
      <c r="H175" s="4682"/>
      <c r="I175" s="4682"/>
      <c r="J175" s="4681"/>
      <c r="K175" s="4685"/>
      <c r="L175" s="4609"/>
      <c r="M175" s="4609"/>
      <c r="N175" s="4686"/>
      <c r="O175" s="4685"/>
      <c r="P175" s="4609"/>
      <c r="Q175" s="4609"/>
      <c r="R175" s="4688" t="s">
        <v>24</v>
      </c>
      <c r="S175" s="4680"/>
      <c r="T175" s="1351"/>
      <c r="U175" s="1352"/>
      <c r="V175" s="1352"/>
      <c r="W175" s="4681"/>
      <c r="X175" s="1886"/>
      <c r="Y175" s="1180"/>
      <c r="Z175" s="1180"/>
      <c r="AA175" s="1180"/>
      <c r="AB175" s="1180"/>
      <c r="AC175" s="1180"/>
      <c r="AD175" s="1180"/>
      <c r="AE175" s="1180"/>
      <c r="AF175" s="1180"/>
      <c r="AG175" s="1180"/>
      <c r="AH175" s="1180"/>
      <c r="AI175" s="1180"/>
      <c r="AJ175" s="1180"/>
      <c r="AK175" s="1180"/>
      <c r="AL175" s="1886"/>
      <c r="AM175" s="1886"/>
      <c r="AN175" s="1886"/>
      <c r="AO175" s="1886"/>
      <c r="AP175" s="1886"/>
      <c r="AQ175" s="1886"/>
      <c r="AR175" s="1886"/>
    </row>
    <row r="176" spans="1:44" ht="17.25" customHeight="1">
      <c r="A176" s="1750"/>
      <c r="B176" s="1886"/>
      <c r="C176" s="1755"/>
      <c r="D176" s="4673"/>
      <c r="E176" s="4674"/>
      <c r="F176" s="4646"/>
      <c r="G176" s="4676"/>
      <c r="H176" s="4642"/>
      <c r="I176" s="4642"/>
      <c r="J176" s="4683"/>
      <c r="K176" s="4685"/>
      <c r="L176" s="4642"/>
      <c r="M176" s="4642"/>
      <c r="N176" s="4687"/>
      <c r="O176" s="4613"/>
      <c r="P176" s="241"/>
      <c r="Q176" s="242"/>
      <c r="R176" s="242" t="s">
        <v>316</v>
      </c>
      <c r="S176" s="1756"/>
      <c r="T176" s="1756"/>
      <c r="U176" s="1756"/>
      <c r="V176" s="1756"/>
      <c r="W176" s="1349"/>
      <c r="X176" s="1886"/>
      <c r="Y176" s="1180"/>
      <c r="Z176" s="1180"/>
      <c r="AA176" s="1180"/>
      <c r="AB176" s="1180"/>
      <c r="AC176" s="1180"/>
      <c r="AD176" s="1180"/>
      <c r="AE176" s="1180"/>
      <c r="AF176" s="1180"/>
      <c r="AG176" s="1180"/>
      <c r="AH176" s="1180"/>
      <c r="AI176" s="1180"/>
      <c r="AJ176" s="1180"/>
      <c r="AK176" s="1180"/>
      <c r="AL176" s="1886"/>
      <c r="AM176" s="1886"/>
      <c r="AN176" s="1886"/>
      <c r="AO176" s="1886"/>
      <c r="AP176" s="1886"/>
      <c r="AQ176" s="1886"/>
      <c r="AR176" s="1886"/>
    </row>
    <row r="177" spans="1:44" ht="17.25" customHeight="1">
      <c r="A177" s="1750"/>
      <c r="B177" s="1886"/>
      <c r="C177" s="1755"/>
      <c r="D177" s="4673"/>
      <c r="E177" s="4674"/>
      <c r="F177" s="4646"/>
      <c r="G177" s="4676"/>
      <c r="H177" s="4642"/>
      <c r="I177" s="4642"/>
      <c r="J177" s="4683"/>
      <c r="K177" s="4613"/>
      <c r="L177" s="241"/>
      <c r="M177" s="242"/>
      <c r="N177" s="242" t="s">
        <v>317</v>
      </c>
      <c r="O177" s="242"/>
      <c r="P177" s="242"/>
      <c r="Q177" s="242"/>
      <c r="R177" s="242"/>
      <c r="S177" s="1756"/>
      <c r="T177" s="1756"/>
      <c r="U177" s="1756"/>
      <c r="V177" s="1756"/>
      <c r="W177" s="243"/>
      <c r="X177" s="1886"/>
      <c r="Y177" s="1180"/>
      <c r="Z177" s="1180"/>
      <c r="AA177" s="1180"/>
      <c r="AB177" s="1180"/>
      <c r="AC177" s="1180"/>
      <c r="AD177" s="1180"/>
      <c r="AE177" s="1180"/>
      <c r="AF177" s="1180"/>
      <c r="AG177" s="1180"/>
      <c r="AH177" s="1180"/>
      <c r="AI177" s="1180"/>
      <c r="AJ177" s="1180"/>
      <c r="AK177" s="1180"/>
      <c r="AL177" s="1886"/>
      <c r="AM177" s="1886"/>
      <c r="AN177" s="1886"/>
      <c r="AO177" s="1886"/>
      <c r="AP177" s="1886"/>
      <c r="AQ177" s="1886"/>
      <c r="AR177" s="1886"/>
    </row>
    <row r="178" spans="1:44" s="1861" customFormat="1" ht="17.25" customHeight="1">
      <c r="A178" s="245"/>
      <c r="C178" s="244"/>
      <c r="D178" s="4642"/>
      <c r="E178" s="4644"/>
      <c r="F178" s="4647"/>
      <c r="G178" s="4677" t="s">
        <v>24</v>
      </c>
      <c r="H178" s="1888"/>
      <c r="I178" s="1889"/>
      <c r="J178" s="1890" t="s">
        <v>407</v>
      </c>
      <c r="K178" s="1891"/>
      <c r="L178" s="1892"/>
      <c r="M178" s="1893"/>
      <c r="N178" s="1894"/>
      <c r="O178" s="1895"/>
      <c r="P178" s="1896"/>
      <c r="Q178" s="1897"/>
      <c r="R178" s="1898"/>
      <c r="S178" s="1899"/>
      <c r="T178" s="1900"/>
      <c r="U178" s="1901"/>
      <c r="V178" s="1902"/>
      <c r="W178" s="1903"/>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row>
    <row r="179" spans="1:44" s="1861" customFormat="1" ht="17.25" customHeight="1">
      <c r="A179" s="245"/>
      <c r="C179" s="130"/>
      <c r="D179" s="4641">
        <v>2</v>
      </c>
      <c r="E179" s="4643" t="s">
        <v>408</v>
      </c>
      <c r="F179" s="4645" t="s">
        <v>55</v>
      </c>
      <c r="G179" s="4678" t="s">
        <v>24</v>
      </c>
      <c r="H179" s="4648"/>
      <c r="I179" s="4650"/>
      <c r="J179" s="4652"/>
      <c r="K179" s="4635"/>
      <c r="L179" s="4635"/>
      <c r="M179" s="4635"/>
      <c r="N179" s="4637"/>
      <c r="O179" s="4635"/>
      <c r="P179" s="4635"/>
      <c r="Q179" s="4635"/>
      <c r="R179" s="4640"/>
      <c r="S179" s="4635"/>
      <c r="T179" s="1904"/>
      <c r="U179" s="1904"/>
      <c r="V179" s="1905"/>
      <c r="W179" s="1906"/>
      <c r="X179" s="1187"/>
      <c r="Y179" s="1187"/>
      <c r="Z179" s="1187"/>
      <c r="AA179" s="1187"/>
      <c r="AB179" s="1187"/>
      <c r="AC179" s="1187" t="s">
        <v>409</v>
      </c>
      <c r="AD179" s="1187" t="s">
        <v>410</v>
      </c>
      <c r="AE179" s="1187" t="s">
        <v>411</v>
      </c>
      <c r="AF179" s="1187" t="s">
        <v>412</v>
      </c>
      <c r="AG179" s="1187"/>
      <c r="AH179" s="1187" t="str">
        <f>IF($E$179=0,"",$E$179)</f>
        <v>Тариф на транспортировку сточных вод</v>
      </c>
      <c r="AI179" s="1187" t="str">
        <f>IF($G$179=0,"",$G$179)</f>
        <v/>
      </c>
      <c r="AJ179" s="1187" t="str">
        <f>IF($J$179=0,"",$J$179)</f>
        <v/>
      </c>
      <c r="AK179" s="1187" t="str">
        <f>IF($K$179="нет","без дифференциации",IF($N$179=0,"",$N$179))</f>
        <v/>
      </c>
      <c r="AL179" s="1187" t="str">
        <f>IF($O$179="нет","без дифференциации",IF($R$179=0,"",$R$179))</f>
        <v/>
      </c>
      <c r="AM179" s="1187" t="str">
        <f>IF($S$179="нет","без дифференциации",IF($V$179=0,"",$V$179))</f>
        <v/>
      </c>
      <c r="AN179" s="1684">
        <f>$I$179</f>
        <v>0</v>
      </c>
      <c r="AO179" s="1187" t="str">
        <f>$I$179&amp;"."&amp;$M$179</f>
        <v>.</v>
      </c>
      <c r="AP179" s="1180" t="str">
        <f>$I$179&amp;"."&amp;$M$179&amp;"."&amp;$Q$179</f>
        <v>..</v>
      </c>
      <c r="AQ179" s="1180" t="str">
        <f>$I$179&amp;"."&amp;$M$179&amp;"."&amp;$Q$179&amp;"."&amp;$U$179</f>
        <v>...</v>
      </c>
    </row>
    <row r="180" spans="1:44" s="1861" customFormat="1" ht="17.25" customHeight="1">
      <c r="A180" s="245"/>
      <c r="C180" s="244"/>
      <c r="D180" s="4641"/>
      <c r="E180" s="4643"/>
      <c r="F180" s="4646"/>
      <c r="G180" s="4678" t="s">
        <v>24</v>
      </c>
      <c r="H180" s="4649"/>
      <c r="I180" s="4651"/>
      <c r="J180" s="4653"/>
      <c r="K180" s="4636"/>
      <c r="L180" s="4636"/>
      <c r="M180" s="4636"/>
      <c r="N180" s="4638"/>
      <c r="O180" s="4636"/>
      <c r="P180" s="4636"/>
      <c r="Q180" s="4636"/>
      <c r="R180" s="4639"/>
      <c r="S180" s="4636"/>
      <c r="T180" s="1908"/>
      <c r="U180" s="1908"/>
      <c r="V180" s="1908"/>
      <c r="W180" s="1909"/>
      <c r="X180" s="1180"/>
      <c r="Y180" s="1180"/>
      <c r="Z180" s="1180"/>
      <c r="AA180" s="1180"/>
      <c r="AB180" s="1180"/>
      <c r="AC180" s="1180"/>
      <c r="AD180" s="1180"/>
      <c r="AE180" s="1180"/>
      <c r="AF180" s="1180"/>
      <c r="AG180" s="1180"/>
      <c r="AH180" s="1180"/>
      <c r="AI180" s="1180"/>
      <c r="AJ180" s="1180"/>
      <c r="AK180" s="1180"/>
      <c r="AL180" s="1180"/>
      <c r="AM180" s="1180"/>
      <c r="AN180" s="1180"/>
      <c r="AO180" s="1180"/>
      <c r="AP180" s="1180"/>
      <c r="AQ180" s="1180"/>
    </row>
    <row r="181" spans="1:44" s="1861" customFormat="1" ht="17.25" customHeight="1">
      <c r="A181" s="245"/>
      <c r="C181" s="244"/>
      <c r="D181" s="4642"/>
      <c r="E181" s="4644"/>
      <c r="F181" s="4646"/>
      <c r="G181" s="4679" t="s">
        <v>24</v>
      </c>
      <c r="H181" s="4649"/>
      <c r="I181" s="4651"/>
      <c r="J181" s="4654"/>
      <c r="K181" s="4636"/>
      <c r="L181" s="4636"/>
      <c r="M181" s="4636"/>
      <c r="N181" s="4639"/>
      <c r="O181" s="4636"/>
      <c r="P181" s="1907"/>
      <c r="Q181" s="1908"/>
      <c r="R181" s="1908"/>
      <c r="S181" s="1886"/>
      <c r="T181" s="1886"/>
      <c r="U181" s="1886"/>
      <c r="V181" s="1886"/>
      <c r="W181" s="1909"/>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row>
    <row r="182" spans="1:44" s="1861" customFormat="1" ht="17.25" customHeight="1">
      <c r="A182" s="245"/>
      <c r="C182" s="244"/>
      <c r="D182" s="4642"/>
      <c r="E182" s="4644"/>
      <c r="F182" s="4646"/>
      <c r="G182" s="4679" t="s">
        <v>24</v>
      </c>
      <c r="H182" s="4649"/>
      <c r="I182" s="4651"/>
      <c r="J182" s="4654"/>
      <c r="K182" s="4636"/>
      <c r="L182" s="1908"/>
      <c r="M182" s="1908"/>
      <c r="N182" s="1908"/>
      <c r="O182" s="1908"/>
      <c r="P182" s="1908"/>
      <c r="Q182" s="1908"/>
      <c r="R182" s="1908"/>
      <c r="S182" s="1886"/>
      <c r="T182" s="1886"/>
      <c r="U182" s="1886"/>
      <c r="V182" s="1886"/>
      <c r="W182" s="1909"/>
      <c r="X182" s="1180"/>
      <c r="Y182" s="1180"/>
      <c r="Z182" s="1180"/>
      <c r="AA182" s="1180"/>
      <c r="AB182" s="1180"/>
      <c r="AC182" s="1180"/>
      <c r="AD182" s="1180"/>
      <c r="AE182" s="1180"/>
      <c r="AF182" s="1180"/>
      <c r="AG182" s="1180"/>
      <c r="AH182" s="1180"/>
      <c r="AI182" s="1180"/>
      <c r="AJ182" s="1180"/>
      <c r="AK182" s="1180"/>
      <c r="AL182" s="1180"/>
      <c r="AM182" s="1180"/>
      <c r="AN182" s="1180"/>
      <c r="AO182" s="1180"/>
      <c r="AP182" s="1180"/>
      <c r="AQ182" s="1180"/>
    </row>
    <row r="183" spans="1:44" s="1861" customFormat="1" ht="17.25" customHeight="1">
      <c r="A183" s="245"/>
      <c r="C183" s="244"/>
      <c r="D183" s="4642"/>
      <c r="E183" s="4644"/>
      <c r="F183" s="4647"/>
      <c r="G183" s="4679" t="s">
        <v>24</v>
      </c>
      <c r="H183" s="1910"/>
      <c r="I183" s="1911"/>
      <c r="J183" s="1911"/>
      <c r="K183" s="1911"/>
      <c r="L183" s="1911"/>
      <c r="M183" s="1911"/>
      <c r="N183" s="1911"/>
      <c r="O183" s="1911"/>
      <c r="P183" s="1911"/>
      <c r="Q183" s="1911"/>
      <c r="R183" s="1911"/>
      <c r="S183" s="1912"/>
      <c r="T183" s="1912"/>
      <c r="U183" s="1912"/>
      <c r="V183" s="1912"/>
      <c r="W183" s="1913"/>
      <c r="X183" s="1180"/>
      <c r="Y183" s="1180"/>
      <c r="Z183" s="1180"/>
      <c r="AA183" s="1180"/>
      <c r="AB183" s="1180"/>
      <c r="AC183" s="1180"/>
      <c r="AD183" s="1180"/>
      <c r="AE183" s="1180"/>
      <c r="AF183" s="1180"/>
      <c r="AG183" s="1180"/>
      <c r="AH183" s="1180"/>
      <c r="AI183" s="1180"/>
      <c r="AJ183" s="1180"/>
      <c r="AK183" s="1180"/>
      <c r="AL183" s="1180"/>
      <c r="AM183" s="1180"/>
      <c r="AN183" s="1180"/>
      <c r="AO183" s="1180"/>
      <c r="AP183" s="1180"/>
      <c r="AQ183" s="1180"/>
    </row>
    <row r="184" spans="1:44" s="1861" customFormat="1" ht="17.25" customHeight="1">
      <c r="A184" s="245"/>
      <c r="C184" s="130"/>
      <c r="D184" s="4641">
        <v>3</v>
      </c>
      <c r="E184" s="4643" t="s">
        <v>413</v>
      </c>
      <c r="F184" s="4645" t="s">
        <v>55</v>
      </c>
      <c r="G184" s="4643"/>
      <c r="H184" s="4648"/>
      <c r="I184" s="4650"/>
      <c r="J184" s="4652"/>
      <c r="K184" s="4635"/>
      <c r="L184" s="4635"/>
      <c r="M184" s="4635"/>
      <c r="N184" s="4637"/>
      <c r="O184" s="4635"/>
      <c r="P184" s="4635"/>
      <c r="Q184" s="4635"/>
      <c r="R184" s="4640"/>
      <c r="S184" s="4635"/>
      <c r="T184" s="1382"/>
      <c r="U184" s="1382"/>
      <c r="V184" s="1384"/>
      <c r="W184" s="1216"/>
      <c r="X184" s="1187"/>
      <c r="Y184" s="1187"/>
      <c r="Z184" s="1187"/>
      <c r="AA184" s="1187"/>
      <c r="AB184" s="1187"/>
      <c r="AC184" s="1187" t="s">
        <v>414</v>
      </c>
      <c r="AD184" s="1187" t="s">
        <v>415</v>
      </c>
      <c r="AE184" s="1187" t="s">
        <v>416</v>
      </c>
      <c r="AF184" s="1187" t="s">
        <v>417</v>
      </c>
      <c r="AG184" s="1187"/>
      <c r="AH184" s="1187" t="str">
        <f>IF($E$184=0,"",$E$184)</f>
        <v>Тариф на подключение (технологическое присоединение) к централизованной системе водоотведения</v>
      </c>
      <c r="AI184" s="1187" t="str">
        <f>IF($G$184=0,"",$G$184)</f>
        <v/>
      </c>
      <c r="AJ184" s="1187" t="str">
        <f>IF($J$184=0,"",$J$184)</f>
        <v/>
      </c>
      <c r="AK184" s="1187" t="str">
        <f>IF($K$184="нет","без дифференциации",IF($N$184=0,"",$N$184))</f>
        <v/>
      </c>
      <c r="AL184" s="1187" t="str">
        <f>IF($O$184="нет","без дифференциации",IF($R$184=0,"",$R$184))</f>
        <v/>
      </c>
      <c r="AM184" s="1187" t="str">
        <f>IF($S$184="нет","без дифференциации",IF($V$184=0,"",$V$184))</f>
        <v/>
      </c>
      <c r="AN184" s="1684">
        <f>$I$184</f>
        <v>0</v>
      </c>
      <c r="AO184" s="1187" t="str">
        <f>$I$184&amp;"."&amp;$M$184</f>
        <v>.</v>
      </c>
      <c r="AP184" s="1180" t="str">
        <f>$I$184&amp;"."&amp;$M$184&amp;"."&amp;$Q$184</f>
        <v>..</v>
      </c>
      <c r="AQ184" s="1180" t="str">
        <f>$I$184&amp;"."&amp;$M$184&amp;"."&amp;$Q$184&amp;"."&amp;$U$184</f>
        <v>...</v>
      </c>
    </row>
    <row r="185" spans="1:44" s="1861" customFormat="1" ht="17.25" customHeight="1">
      <c r="A185" s="245"/>
      <c r="C185" s="244"/>
      <c r="D185" s="4641"/>
      <c r="E185" s="4643"/>
      <c r="F185" s="4646"/>
      <c r="G185" s="4643"/>
      <c r="H185" s="4649"/>
      <c r="I185" s="4651"/>
      <c r="J185" s="4653"/>
      <c r="K185" s="4636"/>
      <c r="L185" s="4636"/>
      <c r="M185" s="4636"/>
      <c r="N185" s="4638"/>
      <c r="O185" s="4636"/>
      <c r="P185" s="4636"/>
      <c r="Q185" s="4636"/>
      <c r="R185" s="4639"/>
      <c r="S185" s="4636"/>
      <c r="T185" s="1217"/>
      <c r="U185" s="1217"/>
      <c r="V185" s="1217"/>
      <c r="W185" s="1218"/>
      <c r="X185" s="1180"/>
      <c r="Y185" s="1180"/>
      <c r="Z185" s="1180"/>
      <c r="AA185" s="1180"/>
      <c r="AB185" s="1180"/>
      <c r="AC185" s="1180"/>
      <c r="AD185" s="1180"/>
      <c r="AE185" s="1180"/>
      <c r="AF185" s="1180"/>
      <c r="AG185" s="1180"/>
      <c r="AH185" s="1180"/>
      <c r="AI185" s="1180"/>
      <c r="AJ185" s="1180"/>
      <c r="AK185" s="1180"/>
      <c r="AL185" s="1180"/>
      <c r="AM185" s="1180"/>
      <c r="AN185" s="1180"/>
      <c r="AO185" s="1180"/>
      <c r="AP185" s="1180"/>
      <c r="AQ185" s="1180"/>
    </row>
    <row r="186" spans="1:44" s="1861" customFormat="1" ht="17.25" customHeight="1">
      <c r="A186" s="245"/>
      <c r="C186" s="244"/>
      <c r="D186" s="4642"/>
      <c r="E186" s="4644"/>
      <c r="F186" s="4646"/>
      <c r="G186" s="4644"/>
      <c r="H186" s="4649"/>
      <c r="I186" s="4651"/>
      <c r="J186" s="4654"/>
      <c r="K186" s="4636"/>
      <c r="L186" s="4636"/>
      <c r="M186" s="4636"/>
      <c r="N186" s="4639"/>
      <c r="O186" s="4636"/>
      <c r="P186" s="1383"/>
      <c r="Q186" s="1217"/>
      <c r="R186" s="1217"/>
      <c r="S186" s="256"/>
      <c r="T186" s="256"/>
      <c r="U186" s="256"/>
      <c r="V186" s="256"/>
      <c r="W186" s="1218"/>
      <c r="X186" s="1180"/>
      <c r="Y186" s="1180"/>
      <c r="Z186" s="1180"/>
      <c r="AA186" s="1180"/>
      <c r="AB186" s="1180"/>
      <c r="AC186" s="1180"/>
      <c r="AD186" s="1180"/>
      <c r="AE186" s="1180"/>
      <c r="AF186" s="1180"/>
      <c r="AG186" s="1180"/>
      <c r="AH186" s="1180"/>
      <c r="AI186" s="1180"/>
      <c r="AJ186" s="1180"/>
      <c r="AK186" s="1180"/>
      <c r="AL186" s="1180"/>
      <c r="AM186" s="1180"/>
      <c r="AN186" s="1180"/>
      <c r="AO186" s="1180"/>
      <c r="AP186" s="1180"/>
      <c r="AQ186" s="1180"/>
    </row>
    <row r="187" spans="1:44" s="1861" customFormat="1" ht="17.25" customHeight="1">
      <c r="A187" s="245"/>
      <c r="C187" s="244"/>
      <c r="D187" s="4642"/>
      <c r="E187" s="4644"/>
      <c r="F187" s="4646"/>
      <c r="G187" s="4644"/>
      <c r="H187" s="4649"/>
      <c r="I187" s="4651"/>
      <c r="J187" s="4654"/>
      <c r="K187" s="4636"/>
      <c r="L187" s="1217"/>
      <c r="M187" s="1217"/>
      <c r="N187" s="1217"/>
      <c r="O187" s="1217"/>
      <c r="P187" s="1217"/>
      <c r="Q187" s="1217"/>
      <c r="R187" s="1217"/>
      <c r="S187" s="256"/>
      <c r="T187" s="256"/>
      <c r="U187" s="256"/>
      <c r="V187" s="256"/>
      <c r="W187" s="1218"/>
      <c r="X187" s="1180"/>
      <c r="Y187" s="1180"/>
      <c r="Z187" s="1180"/>
      <c r="AA187" s="1180"/>
      <c r="AB187" s="1180"/>
      <c r="AC187" s="1180"/>
      <c r="AD187" s="1180"/>
      <c r="AE187" s="1180"/>
      <c r="AF187" s="1180"/>
      <c r="AG187" s="1180"/>
      <c r="AH187" s="1180"/>
      <c r="AI187" s="1180"/>
      <c r="AJ187" s="1180"/>
      <c r="AK187" s="1180"/>
      <c r="AL187" s="1180"/>
      <c r="AM187" s="1180"/>
      <c r="AN187" s="1180"/>
      <c r="AO187" s="1180"/>
      <c r="AP187" s="1180"/>
      <c r="AQ187" s="1180"/>
    </row>
    <row r="188" spans="1:44" s="1861" customFormat="1" ht="17.25" customHeight="1">
      <c r="A188" s="245"/>
      <c r="C188" s="244"/>
      <c r="D188" s="4642"/>
      <c r="E188" s="4644"/>
      <c r="F188" s="4647"/>
      <c r="G188" s="4644"/>
      <c r="H188" s="1219"/>
      <c r="I188" s="1220"/>
      <c r="J188" s="1220"/>
      <c r="K188" s="1220"/>
      <c r="L188" s="1220"/>
      <c r="M188" s="1220"/>
      <c r="N188" s="1220"/>
      <c r="O188" s="1220"/>
      <c r="P188" s="1220"/>
      <c r="Q188" s="1220"/>
      <c r="R188" s="1220"/>
      <c r="S188" s="1221"/>
      <c r="T188" s="1221"/>
      <c r="U188" s="1221"/>
      <c r="V188" s="1221"/>
      <c r="W188" s="1222"/>
      <c r="X188" s="1180"/>
      <c r="Y188" s="1180"/>
      <c r="Z188" s="1180"/>
      <c r="AA188" s="1180"/>
      <c r="AB188" s="1180"/>
      <c r="AC188" s="1180"/>
      <c r="AD188" s="1180"/>
      <c r="AE188" s="1180"/>
      <c r="AF188" s="1180"/>
      <c r="AG188" s="1180"/>
      <c r="AH188" s="1180"/>
      <c r="AI188" s="1180"/>
      <c r="AJ188" s="1180"/>
      <c r="AK188" s="1180"/>
      <c r="AL188" s="1180"/>
      <c r="AM188" s="1180"/>
      <c r="AN188" s="1180"/>
      <c r="AO188" s="1180"/>
      <c r="AP188" s="1180"/>
      <c r="AQ188" s="1180"/>
    </row>
    <row r="192" spans="1:44" ht="11.25" customHeight="1">
      <c r="E192" s="1268"/>
    </row>
    <row r="193" spans="5:5" ht="11.25" customHeight="1">
      <c r="E193" s="1268"/>
    </row>
    <row r="194" spans="5:5" ht="11.25" customHeight="1">
      <c r="E194" s="1268"/>
    </row>
    <row r="195" spans="5:5" ht="11.25" customHeight="1">
      <c r="E195" s="1268"/>
    </row>
    <row r="196" spans="5:5" ht="11.25" customHeight="1">
      <c r="E196" s="1268"/>
    </row>
    <row r="197" spans="5:5" ht="11.25" customHeight="1">
      <c r="E197" s="1268"/>
    </row>
    <row r="198" spans="5:5" ht="11.25" customHeight="1">
      <c r="E198" s="1268"/>
    </row>
  </sheetData>
  <sheetProtection formatColumns="0" formatRows="0" insertRows="0" deleteColumns="0" deleteRows="0" sort="0" autoFilter="0"/>
  <mergeCells count="553">
    <mergeCell ref="W174:W175"/>
    <mergeCell ref="H174:H177"/>
    <mergeCell ref="I174:I177"/>
    <mergeCell ref="J174:J177"/>
    <mergeCell ref="K174:K177"/>
    <mergeCell ref="L174:L176"/>
    <mergeCell ref="M174:M176"/>
    <mergeCell ref="N174:N176"/>
    <mergeCell ref="O174:O176"/>
    <mergeCell ref="P174:P175"/>
    <mergeCell ref="Q174:Q175"/>
    <mergeCell ref="R174:R175"/>
    <mergeCell ref="S174:S175"/>
    <mergeCell ref="W170:W171"/>
    <mergeCell ref="H170:H173"/>
    <mergeCell ref="I170:I173"/>
    <mergeCell ref="J170:J173"/>
    <mergeCell ref="K170:K173"/>
    <mergeCell ref="L170:L172"/>
    <mergeCell ref="M170:M172"/>
    <mergeCell ref="N170:N172"/>
    <mergeCell ref="O170:O172"/>
    <mergeCell ref="P170:P171"/>
    <mergeCell ref="Q170:Q171"/>
    <mergeCell ref="R170:R171"/>
    <mergeCell ref="S170:S171"/>
    <mergeCell ref="W166:W167"/>
    <mergeCell ref="H166:H169"/>
    <mergeCell ref="I166:I169"/>
    <mergeCell ref="J166:J169"/>
    <mergeCell ref="K166:K169"/>
    <mergeCell ref="L166:L168"/>
    <mergeCell ref="M166:M168"/>
    <mergeCell ref="N166:N168"/>
    <mergeCell ref="O166:O168"/>
    <mergeCell ref="P166:P167"/>
    <mergeCell ref="Q166:Q167"/>
    <mergeCell ref="R166:R167"/>
    <mergeCell ref="S166:S167"/>
    <mergeCell ref="W162:W163"/>
    <mergeCell ref="H162:H165"/>
    <mergeCell ref="I162:I165"/>
    <mergeCell ref="J162:J165"/>
    <mergeCell ref="K162:K165"/>
    <mergeCell ref="L162:L164"/>
    <mergeCell ref="M162:M164"/>
    <mergeCell ref="N162:N164"/>
    <mergeCell ref="O162:O164"/>
    <mergeCell ref="P162:P163"/>
    <mergeCell ref="Q162:Q163"/>
    <mergeCell ref="R162:R163"/>
    <mergeCell ref="S162:S163"/>
    <mergeCell ref="W158:W159"/>
    <mergeCell ref="H158:H161"/>
    <mergeCell ref="I158:I161"/>
    <mergeCell ref="J158:J161"/>
    <mergeCell ref="K158:K161"/>
    <mergeCell ref="L158:L160"/>
    <mergeCell ref="M158:M160"/>
    <mergeCell ref="N158:N160"/>
    <mergeCell ref="O158:O160"/>
    <mergeCell ref="P158:P159"/>
    <mergeCell ref="Q158:Q159"/>
    <mergeCell ref="R158:R159"/>
    <mergeCell ref="S158:S159"/>
    <mergeCell ref="W154:W155"/>
    <mergeCell ref="H154:H157"/>
    <mergeCell ref="I154:I157"/>
    <mergeCell ref="J154:J157"/>
    <mergeCell ref="K154:K157"/>
    <mergeCell ref="L154:L156"/>
    <mergeCell ref="M154:M156"/>
    <mergeCell ref="N154:N156"/>
    <mergeCell ref="O154:O156"/>
    <mergeCell ref="P154:P155"/>
    <mergeCell ref="Q154:Q155"/>
    <mergeCell ref="R154:R155"/>
    <mergeCell ref="S154:S155"/>
    <mergeCell ref="W150:W151"/>
    <mergeCell ref="H150:H153"/>
    <mergeCell ref="I150:I153"/>
    <mergeCell ref="J150:J153"/>
    <mergeCell ref="K150:K153"/>
    <mergeCell ref="L150:L152"/>
    <mergeCell ref="M150:M152"/>
    <mergeCell ref="N150:N152"/>
    <mergeCell ref="O150:O152"/>
    <mergeCell ref="P150:P151"/>
    <mergeCell ref="Q150:Q151"/>
    <mergeCell ref="R150:R151"/>
    <mergeCell ref="S150:S151"/>
    <mergeCell ref="W146:W147"/>
    <mergeCell ref="H146:H149"/>
    <mergeCell ref="I146:I149"/>
    <mergeCell ref="J146:J149"/>
    <mergeCell ref="K146:K149"/>
    <mergeCell ref="L146:L148"/>
    <mergeCell ref="M146:M148"/>
    <mergeCell ref="N146:N148"/>
    <mergeCell ref="O146:O148"/>
    <mergeCell ref="P146:P147"/>
    <mergeCell ref="Q146:Q147"/>
    <mergeCell ref="R146:R147"/>
    <mergeCell ref="S146:S147"/>
    <mergeCell ref="W142:W143"/>
    <mergeCell ref="H142:H145"/>
    <mergeCell ref="I142:I145"/>
    <mergeCell ref="J142:J145"/>
    <mergeCell ref="K142:K145"/>
    <mergeCell ref="L142:L144"/>
    <mergeCell ref="M142:M144"/>
    <mergeCell ref="N142:N144"/>
    <mergeCell ref="O142:O144"/>
    <mergeCell ref="P142:P143"/>
    <mergeCell ref="Q142:Q143"/>
    <mergeCell ref="R142:R143"/>
    <mergeCell ref="S142:S143"/>
    <mergeCell ref="W138:W139"/>
    <mergeCell ref="H138:H141"/>
    <mergeCell ref="I138:I141"/>
    <mergeCell ref="J138:J141"/>
    <mergeCell ref="K138:K141"/>
    <mergeCell ref="L138:L140"/>
    <mergeCell ref="M138:M140"/>
    <mergeCell ref="N138:N140"/>
    <mergeCell ref="O138:O140"/>
    <mergeCell ref="P138:P139"/>
    <mergeCell ref="Q138:Q139"/>
    <mergeCell ref="R138:R139"/>
    <mergeCell ref="S138:S139"/>
    <mergeCell ref="W134:W135"/>
    <mergeCell ref="H134:H137"/>
    <mergeCell ref="I134:I137"/>
    <mergeCell ref="J134:J137"/>
    <mergeCell ref="K134:K137"/>
    <mergeCell ref="L134:L136"/>
    <mergeCell ref="M134:M136"/>
    <mergeCell ref="N134:N136"/>
    <mergeCell ref="O134:O136"/>
    <mergeCell ref="P134:P135"/>
    <mergeCell ref="Q134:Q135"/>
    <mergeCell ref="R134:R135"/>
    <mergeCell ref="S134:S135"/>
    <mergeCell ref="W130:W131"/>
    <mergeCell ref="H130:H133"/>
    <mergeCell ref="I130:I133"/>
    <mergeCell ref="J130:J133"/>
    <mergeCell ref="K130:K133"/>
    <mergeCell ref="L130:L132"/>
    <mergeCell ref="M130:M132"/>
    <mergeCell ref="N130:N132"/>
    <mergeCell ref="O130:O132"/>
    <mergeCell ref="P130:P131"/>
    <mergeCell ref="Q130:Q131"/>
    <mergeCell ref="R130:R131"/>
    <mergeCell ref="S130:S131"/>
    <mergeCell ref="W126:W127"/>
    <mergeCell ref="H126:H129"/>
    <mergeCell ref="I126:I129"/>
    <mergeCell ref="J126:J129"/>
    <mergeCell ref="K126:K129"/>
    <mergeCell ref="L126:L128"/>
    <mergeCell ref="M126:M128"/>
    <mergeCell ref="N126:N128"/>
    <mergeCell ref="O126:O128"/>
    <mergeCell ref="P126:P127"/>
    <mergeCell ref="Q126:Q127"/>
    <mergeCell ref="R126:R127"/>
    <mergeCell ref="S126:S127"/>
    <mergeCell ref="W122:W123"/>
    <mergeCell ref="H122:H125"/>
    <mergeCell ref="I122:I125"/>
    <mergeCell ref="J122:J125"/>
    <mergeCell ref="K122:K125"/>
    <mergeCell ref="L122:L124"/>
    <mergeCell ref="M122:M124"/>
    <mergeCell ref="N122:N124"/>
    <mergeCell ref="O122:O124"/>
    <mergeCell ref="P122:P123"/>
    <mergeCell ref="Q122:Q123"/>
    <mergeCell ref="R122:R123"/>
    <mergeCell ref="S122:S123"/>
    <mergeCell ref="W118:W119"/>
    <mergeCell ref="H118:H121"/>
    <mergeCell ref="I118:I121"/>
    <mergeCell ref="J118:J121"/>
    <mergeCell ref="K118:K121"/>
    <mergeCell ref="L118:L120"/>
    <mergeCell ref="M118:M120"/>
    <mergeCell ref="N118:N120"/>
    <mergeCell ref="O118:O120"/>
    <mergeCell ref="P118:P119"/>
    <mergeCell ref="Q118:Q119"/>
    <mergeCell ref="R118:R119"/>
    <mergeCell ref="S118:S119"/>
    <mergeCell ref="W114:W115"/>
    <mergeCell ref="H114:H117"/>
    <mergeCell ref="I114:I117"/>
    <mergeCell ref="J114:J117"/>
    <mergeCell ref="K114:K117"/>
    <mergeCell ref="L114:L116"/>
    <mergeCell ref="M114:M116"/>
    <mergeCell ref="N114:N116"/>
    <mergeCell ref="O114:O116"/>
    <mergeCell ref="P114:P115"/>
    <mergeCell ref="Q114:Q115"/>
    <mergeCell ref="R114:R115"/>
    <mergeCell ref="S114:S115"/>
    <mergeCell ref="W110:W111"/>
    <mergeCell ref="H110:H113"/>
    <mergeCell ref="I110:I113"/>
    <mergeCell ref="J110:J113"/>
    <mergeCell ref="K110:K113"/>
    <mergeCell ref="L110:L112"/>
    <mergeCell ref="M110:M112"/>
    <mergeCell ref="N110:N112"/>
    <mergeCell ref="O110:O112"/>
    <mergeCell ref="P110:P111"/>
    <mergeCell ref="Q110:Q111"/>
    <mergeCell ref="R110:R111"/>
    <mergeCell ref="S110:S111"/>
    <mergeCell ref="S106:S107"/>
    <mergeCell ref="W106:W107"/>
    <mergeCell ref="H106:H109"/>
    <mergeCell ref="I106:I109"/>
    <mergeCell ref="J106:J109"/>
    <mergeCell ref="K106:K109"/>
    <mergeCell ref="L106:L108"/>
    <mergeCell ref="M106:M108"/>
    <mergeCell ref="N106:N108"/>
    <mergeCell ref="O106:O108"/>
    <mergeCell ref="P106:P107"/>
    <mergeCell ref="Q106:Q107"/>
    <mergeCell ref="R106:R107"/>
    <mergeCell ref="M184:M186"/>
    <mergeCell ref="N184:N186"/>
    <mergeCell ref="O184:O186"/>
    <mergeCell ref="P184:P185"/>
    <mergeCell ref="Q184:Q185"/>
    <mergeCell ref="R184:R185"/>
    <mergeCell ref="S184:S185"/>
    <mergeCell ref="D179:D183"/>
    <mergeCell ref="E179:E183"/>
    <mergeCell ref="F179:F183"/>
    <mergeCell ref="G179:G183"/>
    <mergeCell ref="Q179:Q180"/>
    <mergeCell ref="R179:R180"/>
    <mergeCell ref="S179:S180"/>
    <mergeCell ref="P179:P180"/>
    <mergeCell ref="I179:I182"/>
    <mergeCell ref="H179:H182"/>
    <mergeCell ref="J179:J182"/>
    <mergeCell ref="K179:K182"/>
    <mergeCell ref="M179:M181"/>
    <mergeCell ref="O179:O181"/>
    <mergeCell ref="L179:L181"/>
    <mergeCell ref="N179:N181"/>
    <mergeCell ref="D184:D188"/>
    <mergeCell ref="E184:E188"/>
    <mergeCell ref="F184:F188"/>
    <mergeCell ref="G184:G188"/>
    <mergeCell ref="H184:H187"/>
    <mergeCell ref="I184:I187"/>
    <mergeCell ref="J184:J187"/>
    <mergeCell ref="K184:K187"/>
    <mergeCell ref="L184:L186"/>
    <mergeCell ref="D106:D178"/>
    <mergeCell ref="E106:E178"/>
    <mergeCell ref="F106:F178"/>
    <mergeCell ref="G106:G178"/>
    <mergeCell ref="M95:M97"/>
    <mergeCell ref="N95:N97"/>
    <mergeCell ref="O95:O97"/>
    <mergeCell ref="P95:P96"/>
    <mergeCell ref="Q95:Q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95:R96"/>
    <mergeCell ref="S95:S96"/>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389">
    <dataValidation allowBlank="1" showInputMessage="1" showErrorMessage="1" prompt="Выберите виды деятельности, выполнив двойной щелчок левой кнопки мыши по ячейке." sqref="G13:G52 G64:G88 G90:G104 G106:G109 G178:G18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84:N186">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84:J185 R184:R185 V184:W184">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F106:F109 F178:F188 K184:K185 O184:O185 S184:S185"/>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Для выбора выполните двойной щелчок левой клавиши мыши по соответствующей ячейке." sqref="K17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type="textLength" operator="lessThanOrEqual" allowBlank="1" showInputMessage="1" showErrorMessage="1" errorTitle="Ошибка" error="Допускается ввод не более 900 символов!" sqref="V179">
      <formula1>900</formula1>
    </dataValidation>
    <dataValidation type="textLength" operator="lessThanOrEqual" allowBlank="1" showInputMessage="1" showErrorMessage="1" errorTitle="Ошибка" error="Допускается ввод не более 900 символов!" sqref="W179">
      <formula1>900</formula1>
    </dataValidation>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Для выбора выполните двойной щелчок левой клавиши мыши по соответствующей ячейке." sqref="K18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formula1>DESCRIPTION_TERRITORY</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Для выбора выполните двойной щелчок левой клавиши мыши по соответствующей ячейке." sqref="K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Для выбора выполните двойной щелчок левой клавиши мыши по соответствующей ячейке." sqref="K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O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V114">
      <formula1>900</formula1>
    </dataValidation>
    <dataValidation type="textLength" operator="lessThanOrEqual" allowBlank="1" showInputMessage="1" showErrorMessage="1" errorTitle="Ошибка" error="Допускается ввод не более 900 символов!" sqref="W114">
      <formula1>900</formula1>
    </dataValidation>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Для выбора выполните двойной щелчок левой клавиши мыши по соответствующей ячейке." sqref="K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Для выбора выполните двойной щелчок левой клавиши мыши по соответствующей ячейке." sqref="K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Для выбора выполните двойной щелчок левой клавиши мыши по соответствующей ячейке." sqref="K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O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V126">
      <formula1>900</formula1>
    </dataValidation>
    <dataValidation type="textLength" operator="lessThanOrEqual" allowBlank="1" showInputMessage="1" showErrorMessage="1" errorTitle="Ошибка" error="Допускается ввод не более 900 символов!" sqref="W126">
      <formula1>900</formula1>
    </dataValidation>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Для выбора выполните двойной щелчок левой клавиши мыши по соответствующей ячейке." sqref="K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Для выбора выполните двойной щелчок левой клавиши мыши по соответствующей ячейке." sqref="K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Для выбора выполните двойной щелчок левой клавиши мыши по соответствующей ячейке." sqref="K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O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V138">
      <formula1>900</formula1>
    </dataValidation>
    <dataValidation type="textLength" operator="lessThanOrEqual" allowBlank="1" showInputMessage="1" showErrorMessage="1" errorTitle="Ошибка" error="Допускается ввод не более 900 символов!" sqref="W138">
      <formula1>900</formula1>
    </dataValidation>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Для выбора выполните двойной щелчок левой клавиши мыши по соответствующей ячейке." sqref="K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Для выбора выполните двойной щелчок левой клавиши мыши по соответствующей ячейке." sqref="O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V142">
      <formula1>900</formula1>
    </dataValidation>
    <dataValidation type="textLength" operator="lessThanOrEqual" allowBlank="1" showInputMessage="1" showErrorMessage="1" errorTitle="Ошибка" error="Допускается ввод не более 900 символов!" sqref="W142">
      <formula1>900</formula1>
    </dataValidation>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Для выбора выполните двойной щелчок левой клавиши мыши по соответствующей ячейке." sqref="K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O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V146">
      <formula1>900</formula1>
    </dataValidation>
    <dataValidation type="textLength" operator="lessThanOrEqual" allowBlank="1" showInputMessage="1" showErrorMessage="1" errorTitle="Ошибка" error="Допускается ввод не более 900 символов!" sqref="W146">
      <formula1>900</formula1>
    </dataValidation>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Для выбора выполните двойной щелчок левой клавиши мыши по соответствующей ячейке." sqref="K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Для выбора выполните двойной щелчок левой клавиши мыши по соответствующей ячейке." sqref="K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O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V154">
      <formula1>900</formula1>
    </dataValidation>
    <dataValidation type="textLength" operator="lessThanOrEqual" allowBlank="1" showInputMessage="1" showErrorMessage="1" errorTitle="Ошибка" error="Допускается ввод не более 900 символов!" sqref="W154">
      <formula1>900</formula1>
    </dataValidation>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Для выбора выполните двойной щелчок левой клавиши мыши по соответствующей ячейке." sqref="S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Для выбора выполните двойной щелчок левой клавиши мыши по соответствующей ячейке." sqref="K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O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V158">
      <formula1>900</formula1>
    </dataValidation>
    <dataValidation type="textLength" operator="lessThanOrEqual" allowBlank="1" showInputMessage="1" showErrorMessage="1" errorTitle="Ошибка" error="Допускается ввод не более 900 символов!" sqref="W158">
      <formula1>900</formula1>
    </dataValidation>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Для выбора выполните двойной щелчок левой клавиши мыши по соответствующей ячейке." sqref="K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O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V162">
      <formula1>900</formula1>
    </dataValidation>
    <dataValidation type="textLength" operator="lessThanOrEqual" allowBlank="1" showInputMessage="1" showErrorMessage="1" errorTitle="Ошибка" error="Допускается ввод не более 900 символов!" sqref="W162">
      <formula1>900</formula1>
    </dataValidation>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Для выбора выполните двойной щелчок левой клавиши мыши по соответствующей ячейке." sqref="K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O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V166">
      <formula1>900</formula1>
    </dataValidation>
    <dataValidation type="textLength" operator="lessThanOrEqual" allowBlank="1" showInputMessage="1" showErrorMessage="1" errorTitle="Ошибка" error="Допускается ввод не более 900 символов!" sqref="W166">
      <formula1>900</formula1>
    </dataValidation>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Для выбора выполните двойной щелчок левой клавиши мыши по соответствующей ячейке." sqref="K1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allowBlank="1" showInputMessage="1" showErrorMessage="1" prompt="Для выбора выполните двойной щелчок левой клавиши мыши по соответствующей ячейке." sqref="O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type="textLength" operator="lessThanOrEqual" allowBlank="1" showInputMessage="1" showErrorMessage="1" errorTitle="Ошибка" error="Допускается ввод не более 900 символов!" sqref="V170">
      <formula1>900</formula1>
    </dataValidation>
    <dataValidation type="textLength" operator="lessThanOrEqual" allowBlank="1" showInputMessage="1" showErrorMessage="1" errorTitle="Ошибка" error="Допускается ввод не более 900 символов!" sqref="W170">
      <formula1>900</formula1>
    </dataValidation>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Для выбора выполните двойной щелчок левой клавиши мыши по соответствующей ячейке." sqref="K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O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V174">
      <formula1>900</formula1>
    </dataValidation>
    <dataValidation type="textLength" operator="lessThanOrEqual" allowBlank="1" showInputMessage="1" showErrorMessage="1" errorTitle="Ошибка" error="Допускается ввод не более 900 символов!" sqref="W174">
      <formula1>900</formula1>
    </dataValidation>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dimension ref="A1:IV14"/>
  <sheetViews>
    <sheetView showGridLines="0" topLeftCell="D4" zoomScale="90" workbookViewId="0"/>
  </sheetViews>
  <sheetFormatPr defaultColWidth="9.140625" defaultRowHeight="14.25" customHeight="1"/>
  <cols>
    <col min="1" max="1" width="9.140625" style="1921" hidden="1"/>
    <col min="2" max="2" width="9.140625" style="1835" hidden="1"/>
    <col min="3" max="3" width="3.7109375" style="1921" hidden="1" customWidth="1"/>
    <col min="4" max="4" width="3.85546875" style="1937" customWidth="1"/>
    <col min="5" max="5" width="6.28515625" style="1921" customWidth="1"/>
    <col min="6" max="6" width="27.28515625" style="1921" customWidth="1"/>
    <col min="7" max="7" width="16.7109375" style="1921" customWidth="1"/>
    <col min="8" max="8" width="12.7109375" style="1921" customWidth="1"/>
    <col min="9" max="9" width="32.140625" style="1921" customWidth="1"/>
    <col min="10" max="11" width="41.85546875" style="1921" customWidth="1"/>
    <col min="12" max="12" width="89.5703125" style="1921" customWidth="1"/>
    <col min="13" max="13" width="3.7109375" style="1831" customWidth="1"/>
    <col min="14" max="16" width="9.140625" style="1831"/>
    <col min="17" max="17" width="25.7109375" style="1828" customWidth="1"/>
    <col min="18" max="18" width="14.42578125" style="1831" customWidth="1"/>
    <col min="19" max="22" width="9.140625" style="1829"/>
    <col min="23" max="256" width="9.140625" style="1921"/>
  </cols>
  <sheetData>
    <row r="1" spans="1:256" ht="14.25" hidden="1" customHeight="1"/>
    <row r="2" spans="1:256" s="1832" customFormat="1" ht="22.5" hidden="1" customHeight="1">
      <c r="A2" s="749"/>
      <c r="B2" s="1061">
        <v>1</v>
      </c>
      <c r="C2" s="1061"/>
      <c r="D2" s="719"/>
      <c r="E2" s="1395"/>
      <c r="F2" s="1449" t="str">
        <f>IF(ROIV_INFO_NAME="","",ROIV_INFO_NAME)</f>
        <v>ОГКП "Ульяновский областной водоканал"</v>
      </c>
      <c r="G2" s="1643" t="s">
        <v>24</v>
      </c>
      <c r="H2" s="1448"/>
      <c r="I2" s="1448"/>
      <c r="J2" s="1065"/>
      <c r="K2" s="1065"/>
      <c r="L2" s="149"/>
      <c r="M2" s="1445" t="e">
        <f ca="1">MERGEVALUE(F2)</f>
        <v>#NAME?</v>
      </c>
      <c r="N2" s="438"/>
      <c r="O2" s="438"/>
      <c r="P2" s="427" t="str">
        <f t="array" ref="P2">IF(ISERROR(MATCH(MID(Q2,1,250),MID(note_ter,1,250),0)),"n","y")</f>
        <v>n</v>
      </c>
      <c r="Q2" s="438"/>
      <c r="R2" s="427" t="str">
        <f>G2&amp;"("&amp;L2&amp;")"</f>
        <v>()</v>
      </c>
      <c r="S2" s="1061"/>
      <c r="T2" s="1061"/>
      <c r="U2" s="354"/>
      <c r="V2" s="1061"/>
      <c r="W2" s="1061"/>
      <c r="X2" s="1061"/>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21" customFormat="1" ht="5.25" hidden="1" customHeight="1">
      <c r="A3" s="423"/>
      <c r="D3" s="421"/>
      <c r="F3" s="166" t="s">
        <v>81</v>
      </c>
      <c r="G3" s="1646" t="s">
        <v>82</v>
      </c>
      <c r="H3" s="421"/>
      <c r="I3" s="421"/>
      <c r="J3" s="421"/>
      <c r="K3" s="421"/>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30" customFormat="1" ht="14.25" customHeight="1">
      <c r="A4" s="1056"/>
      <c r="B4" s="1061"/>
      <c r="C4" s="1056"/>
      <c r="D4" s="1406"/>
      <c r="E4" s="436"/>
      <c r="F4" s="436"/>
      <c r="G4" s="436"/>
      <c r="H4" s="436"/>
      <c r="I4" s="436"/>
      <c r="J4" s="436"/>
      <c r="K4" s="436"/>
      <c r="L4" s="87"/>
      <c r="M4" s="166"/>
      <c r="N4" s="427"/>
      <c r="O4" s="427"/>
      <c r="P4" s="427"/>
      <c r="Q4" s="147"/>
      <c r="R4" s="427"/>
      <c r="S4" s="146"/>
      <c r="T4" s="146"/>
      <c r="U4" s="146"/>
      <c r="V4" s="146"/>
    </row>
    <row r="5" spans="1:256" s="1830" customFormat="1" ht="25.5" customHeight="1">
      <c r="A5" s="1056"/>
      <c r="B5" s="1061"/>
      <c r="C5" s="1056"/>
      <c r="D5" s="1406"/>
      <c r="E5" s="4603"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4603"/>
      <c r="G5" s="4603"/>
      <c r="H5" s="4603"/>
      <c r="I5" s="4603"/>
      <c r="J5" s="4603"/>
      <c r="K5" s="4603"/>
      <c r="L5" s="512"/>
      <c r="M5" s="166"/>
      <c r="N5" s="427"/>
      <c r="O5" s="427"/>
      <c r="P5" s="427"/>
      <c r="Q5" s="147"/>
      <c r="R5" s="427"/>
      <c r="S5" s="146"/>
      <c r="T5" s="146"/>
      <c r="U5" s="146"/>
      <c r="V5" s="146"/>
    </row>
    <row r="6" spans="1:256" s="1830" customFormat="1" ht="14.25" customHeight="1">
      <c r="A6" s="1056"/>
      <c r="B6" s="1061"/>
      <c r="C6" s="1056"/>
      <c r="D6" s="1406"/>
      <c r="E6" s="436"/>
      <c r="F6" s="88"/>
      <c r="G6" s="88"/>
      <c r="H6" s="88"/>
      <c r="I6" s="88"/>
      <c r="J6" s="88"/>
      <c r="K6" s="88"/>
      <c r="L6" s="89"/>
      <c r="M6" s="427"/>
      <c r="N6" s="427"/>
      <c r="O6" s="427"/>
      <c r="P6" s="427"/>
      <c r="Q6" s="147"/>
      <c r="R6" s="427"/>
      <c r="S6" s="146"/>
      <c r="T6" s="146"/>
      <c r="U6" s="146"/>
      <c r="V6" s="146"/>
    </row>
    <row r="7" spans="1:256" s="1830" customFormat="1" ht="14.25" customHeight="1">
      <c r="A7" s="1056"/>
      <c r="B7" s="1061"/>
      <c r="C7" s="1056"/>
      <c r="D7" s="1406"/>
      <c r="E7" s="4598" t="s">
        <v>439</v>
      </c>
      <c r="F7" s="4604"/>
      <c r="G7" s="4604"/>
      <c r="H7" s="4604"/>
      <c r="I7" s="4604"/>
      <c r="J7" s="4604"/>
      <c r="K7" s="4604"/>
      <c r="L7" s="4920" t="s">
        <v>440</v>
      </c>
      <c r="M7" s="427"/>
      <c r="N7" s="427"/>
      <c r="O7" s="427"/>
      <c r="P7" s="427"/>
      <c r="Q7" s="147"/>
      <c r="R7" s="427"/>
      <c r="S7" s="146"/>
      <c r="T7" s="146"/>
      <c r="U7" s="146"/>
      <c r="V7" s="146"/>
    </row>
    <row r="8" spans="1:256" s="1830" customFormat="1" ht="47.25" customHeight="1">
      <c r="A8" s="1056"/>
      <c r="B8" s="1061"/>
      <c r="C8" s="1056"/>
      <c r="D8" s="1406"/>
      <c r="E8" s="4925" t="s">
        <v>86</v>
      </c>
      <c r="F8" s="4925" t="s">
        <v>1225</v>
      </c>
      <c r="G8" s="492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4928"/>
      <c r="I8" s="4929"/>
      <c r="J8" s="492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492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4924"/>
      <c r="M8" s="427"/>
      <c r="N8" s="427"/>
      <c r="O8" s="427"/>
      <c r="P8" s="427"/>
      <c r="Q8" s="147"/>
      <c r="R8" s="427"/>
      <c r="S8" s="146"/>
      <c r="T8" s="146"/>
      <c r="U8" s="146"/>
      <c r="V8" s="146"/>
    </row>
    <row r="9" spans="1:256" s="1830" customFormat="1" ht="56.25" customHeight="1">
      <c r="A9" s="1056"/>
      <c r="B9" s="1061"/>
      <c r="C9" s="1056"/>
      <c r="D9" s="1406"/>
      <c r="E9" s="4926"/>
      <c r="F9" s="4926"/>
      <c r="G9" s="1447" t="s">
        <v>1247</v>
      </c>
      <c r="H9" s="1447" t="s">
        <v>1248</v>
      </c>
      <c r="I9" s="1447" t="s">
        <v>1249</v>
      </c>
      <c r="J9" s="4926"/>
      <c r="K9" s="4926"/>
      <c r="L9" s="4921"/>
      <c r="M9" s="427"/>
      <c r="N9" s="427"/>
      <c r="O9" s="427"/>
      <c r="P9" s="427"/>
      <c r="Q9" s="147"/>
      <c r="R9" s="427"/>
      <c r="S9" s="146"/>
      <c r="T9" s="146"/>
      <c r="U9" s="146"/>
      <c r="V9" s="146"/>
    </row>
    <row r="10" spans="1:256" s="1832" customFormat="1" ht="22.5" customHeight="1">
      <c r="A10" s="4601"/>
      <c r="B10" s="1061">
        <v>1</v>
      </c>
      <c r="C10" s="1061"/>
      <c r="D10" s="718"/>
      <c r="E10" s="716">
        <v>1</v>
      </c>
      <c r="F10" s="1449" t="str">
        <f>IF(ROIV_INFO_NAME="","",ROIV_INFO_NAME)</f>
        <v>ОГКП "Ульяновский областной водоканал"</v>
      </c>
      <c r="G10" s="1643" t="s">
        <v>24</v>
      </c>
      <c r="H10" s="1444"/>
      <c r="I10" s="1444"/>
      <c r="J10" s="1065"/>
      <c r="K10" s="1065"/>
      <c r="L10" s="4922" t="s">
        <v>1250</v>
      </c>
      <c r="M10" s="1445"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1"/>
      <c r="T10" s="1061"/>
      <c r="U10" s="354"/>
      <c r="V10" s="1061"/>
      <c r="W10" s="1061"/>
      <c r="X10" s="1061"/>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32" customFormat="1" ht="15" customHeight="1">
      <c r="A11" s="4601"/>
      <c r="B11" s="1061"/>
      <c r="C11" s="347"/>
      <c r="D11" s="719"/>
      <c r="E11" s="355"/>
      <c r="F11" s="351" t="s">
        <v>1251</v>
      </c>
      <c r="G11" s="108"/>
      <c r="H11" s="108"/>
      <c r="I11" s="108"/>
      <c r="J11" s="108"/>
      <c r="K11" s="108"/>
      <c r="L11" s="4923"/>
      <c r="M11" s="1446"/>
      <c r="N11" s="438"/>
      <c r="O11" s="438"/>
      <c r="P11" s="438"/>
      <c r="Q11" s="427"/>
      <c r="R11" s="438"/>
      <c r="S11" s="1061"/>
      <c r="T11" s="1061"/>
      <c r="U11" s="354"/>
      <c r="V11" s="1061"/>
      <c r="W11" s="1061"/>
      <c r="X11" s="1061"/>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30" customFormat="1" ht="21" customHeight="1">
      <c r="A12" s="1056"/>
      <c r="B12" s="1061"/>
      <c r="C12" s="1056"/>
      <c r="D12" s="383"/>
      <c r="E12" s="101"/>
      <c r="F12" s="101"/>
      <c r="G12" s="101"/>
      <c r="H12" s="101"/>
      <c r="I12" s="101"/>
      <c r="J12" s="101"/>
      <c r="K12" s="101"/>
      <c r="L12" s="101"/>
      <c r="M12" s="427"/>
      <c r="N12" s="427"/>
      <c r="O12" s="427"/>
      <c r="P12" s="427"/>
      <c r="Q12" s="147"/>
      <c r="R12" s="427"/>
      <c r="S12" s="146"/>
      <c r="T12" s="146"/>
      <c r="U12" s="146"/>
      <c r="V12" s="146"/>
    </row>
    <row r="13" spans="1:256" s="1830" customFormat="1" ht="14.25" customHeight="1">
      <c r="A13" s="1056"/>
      <c r="B13" s="1061"/>
      <c r="C13" s="1056"/>
      <c r="D13" s="383"/>
      <c r="E13" s="1056"/>
      <c r="F13" s="1056"/>
      <c r="G13" s="1056"/>
      <c r="H13" s="1056"/>
      <c r="I13" s="1056"/>
      <c r="J13" s="1056"/>
      <c r="K13" s="1056"/>
      <c r="L13" s="1056"/>
      <c r="M13" s="427"/>
      <c r="N13" s="427"/>
      <c r="O13" s="427"/>
      <c r="P13" s="427"/>
      <c r="Q13" s="147"/>
      <c r="R13" s="427"/>
      <c r="S13" s="146"/>
      <c r="T13" s="146"/>
      <c r="U13" s="146"/>
      <c r="V13" s="146"/>
    </row>
    <row r="14" spans="1:256" s="1830" customFormat="1" ht="0.75" customHeight="1">
      <c r="A14" s="1056"/>
      <c r="B14" s="1061"/>
      <c r="C14" s="1056"/>
      <c r="D14" s="383"/>
      <c r="E14" s="1056"/>
      <c r="F14" s="1056"/>
      <c r="G14" s="1056"/>
      <c r="H14" s="1056"/>
      <c r="I14" s="1056"/>
      <c r="J14" s="1056"/>
      <c r="K14" s="1056"/>
      <c r="L14" s="1056"/>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dimension ref="A1:IY16"/>
  <sheetViews>
    <sheetView showGridLines="0" topLeftCell="D5" zoomScale="90" workbookViewId="0"/>
  </sheetViews>
  <sheetFormatPr defaultColWidth="9.140625" defaultRowHeight="14.25" customHeight="1"/>
  <cols>
    <col min="1" max="1" width="9.140625" style="1921" hidden="1"/>
    <col min="2" max="2" width="9.140625" style="1835" hidden="1"/>
    <col min="3" max="3" width="3.7109375" style="1921" hidden="1" customWidth="1"/>
    <col min="4" max="4" width="3.85546875" style="1937" customWidth="1"/>
    <col min="5" max="5" width="10.140625" style="1921" customWidth="1"/>
    <col min="6" max="6" width="6.28515625" style="1921" customWidth="1"/>
    <col min="7" max="7" width="27.28515625" style="1921" customWidth="1"/>
    <col min="8" max="8" width="29.28515625" style="1921" customWidth="1"/>
    <col min="9" max="9" width="25.42578125" style="1921" customWidth="1"/>
    <col min="10" max="10" width="5.5703125" style="1921" customWidth="1"/>
    <col min="11" max="11" width="6.5703125" style="1921" customWidth="1"/>
    <col min="12" max="12" width="41.85546875" style="1921" customWidth="1"/>
    <col min="13" max="13" width="42.42578125" style="1921" customWidth="1"/>
    <col min="14" max="14" width="41.5703125" style="1921" customWidth="1"/>
    <col min="15" max="15" width="64.140625" style="1921" customWidth="1"/>
    <col min="16" max="16" width="3.7109375" style="1831" customWidth="1"/>
    <col min="17" max="19" width="9.140625" style="1831"/>
    <col min="20" max="20" width="25.7109375" style="1828" customWidth="1"/>
    <col min="21" max="21" width="14.42578125" style="1831" customWidth="1"/>
    <col min="22" max="25" width="9.140625" style="1829"/>
    <col min="26" max="259" width="9.140625" style="1921"/>
  </cols>
  <sheetData>
    <row r="1" spans="1:259" ht="14.25" hidden="1" customHeight="1"/>
    <row r="2" spans="1:259" s="1832" customFormat="1" ht="22.5" hidden="1" customHeight="1">
      <c r="A2" s="423"/>
      <c r="B2" s="1061">
        <v>1</v>
      </c>
      <c r="C2" s="1061"/>
      <c r="D2" s="719"/>
      <c r="E2" s="4627"/>
      <c r="F2" s="4627">
        <v>1</v>
      </c>
      <c r="G2" s="4938" t="str">
        <f>IF(region_name="","",region_name)</f>
        <v>Ульяновская область</v>
      </c>
      <c r="H2" s="4939"/>
      <c r="I2" s="4940"/>
      <c r="J2" s="402"/>
      <c r="K2" s="1395">
        <v>1</v>
      </c>
      <c r="L2" s="1065"/>
      <c r="M2" s="1065"/>
      <c r="N2" s="1065"/>
      <c r="O2" s="1065"/>
      <c r="P2" s="1445" t="e">
        <f ca="1">MERGEVALUE(G2)</f>
        <v>#NAME?</v>
      </c>
      <c r="Q2" s="438"/>
      <c r="R2" s="438"/>
      <c r="S2" s="427" t="str">
        <f t="array" ref="S2">IF(ISERROR(MATCH(MID(T2,1,250),MID(note_ter,1,250),0)),"n","y")</f>
        <v>n</v>
      </c>
      <c r="T2" s="438"/>
      <c r="U2" s="427"/>
      <c r="V2" s="1061"/>
      <c r="W2" s="1061"/>
      <c r="X2" s="354"/>
      <c r="Y2" s="1061"/>
      <c r="Z2" s="1061"/>
      <c r="AA2" s="1061"/>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32" customFormat="1" ht="22.5" hidden="1" customHeight="1">
      <c r="A3" s="749"/>
      <c r="B3" s="1061"/>
      <c r="C3" s="1061"/>
      <c r="D3" s="719"/>
      <c r="E3" s="4627"/>
      <c r="F3" s="4627"/>
      <c r="G3" s="4938"/>
      <c r="H3" s="4939"/>
      <c r="I3" s="4941"/>
      <c r="J3" s="1454"/>
      <c r="K3" s="1411"/>
      <c r="L3" s="1411" t="s">
        <v>1252</v>
      </c>
      <c r="M3" s="1457"/>
      <c r="N3" s="1457"/>
      <c r="O3" s="1458"/>
      <c r="P3" s="1445"/>
      <c r="Q3" s="438"/>
      <c r="R3" s="438"/>
      <c r="S3" s="427"/>
      <c r="T3" s="438"/>
      <c r="U3" s="427"/>
      <c r="V3" s="1061"/>
      <c r="W3" s="1061"/>
      <c r="X3" s="354"/>
      <c r="Y3" s="1061"/>
      <c r="Z3" s="1061"/>
      <c r="AA3" s="1061"/>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21" customFormat="1" ht="5.25" hidden="1" customHeight="1">
      <c r="A4" s="423"/>
      <c r="D4" s="421"/>
      <c r="G4" s="166" t="s">
        <v>81</v>
      </c>
      <c r="H4" s="421" t="s">
        <v>82</v>
      </c>
      <c r="I4" s="421"/>
      <c r="J4" s="1459"/>
      <c r="K4" s="1459"/>
      <c r="L4" s="1459"/>
      <c r="M4" s="1459"/>
      <c r="N4" s="1459"/>
      <c r="O4" s="1459"/>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30" customFormat="1" ht="14.25" customHeight="1">
      <c r="A5" s="1056"/>
      <c r="B5" s="1061"/>
      <c r="C5" s="1056"/>
      <c r="D5" s="1406"/>
      <c r="E5" s="436"/>
      <c r="F5" s="436"/>
      <c r="G5" s="436"/>
      <c r="H5" s="436"/>
      <c r="I5" s="436"/>
      <c r="J5" s="436"/>
      <c r="K5" s="436"/>
      <c r="L5" s="436"/>
      <c r="M5" s="436"/>
      <c r="N5" s="436"/>
      <c r="O5" s="436"/>
      <c r="P5" s="166"/>
      <c r="Q5" s="427"/>
      <c r="R5" s="427"/>
      <c r="S5" s="427"/>
      <c r="T5" s="147"/>
      <c r="U5" s="427"/>
      <c r="V5" s="146"/>
      <c r="W5" s="146"/>
      <c r="X5" s="146"/>
      <c r="Y5" s="146"/>
    </row>
    <row r="6" spans="1:259" s="1830" customFormat="1" ht="25.5" customHeight="1">
      <c r="A6" s="1056"/>
      <c r="B6" s="1061"/>
      <c r="C6" s="1056"/>
      <c r="D6" s="1406"/>
      <c r="E6" s="4603" t="s">
        <v>1253</v>
      </c>
      <c r="F6" s="4603"/>
      <c r="G6" s="4603"/>
      <c r="H6" s="4603"/>
      <c r="I6" s="4603"/>
      <c r="J6" s="4603"/>
      <c r="K6" s="4603"/>
      <c r="L6" s="4603"/>
      <c r="M6" s="4603"/>
      <c r="N6" s="4603"/>
      <c r="O6" s="4603"/>
      <c r="P6" s="166"/>
      <c r="Q6" s="427"/>
      <c r="R6" s="427"/>
      <c r="S6" s="427"/>
      <c r="T6" s="147"/>
      <c r="U6" s="427"/>
      <c r="V6" s="146"/>
      <c r="W6" s="146"/>
      <c r="X6" s="146"/>
      <c r="Y6" s="146"/>
    </row>
    <row r="7" spans="1:259" s="1830" customFormat="1" ht="14.25" customHeight="1">
      <c r="A7" s="1056"/>
      <c r="B7" s="1061"/>
      <c r="C7" s="1056"/>
      <c r="D7" s="1406"/>
      <c r="E7" s="436"/>
      <c r="F7" s="436"/>
      <c r="G7" s="88"/>
      <c r="H7" s="88"/>
      <c r="I7" s="88"/>
      <c r="J7" s="88"/>
      <c r="K7" s="88"/>
      <c r="L7" s="88"/>
      <c r="M7" s="88"/>
      <c r="N7" s="88"/>
      <c r="O7" s="88"/>
      <c r="P7" s="427"/>
      <c r="Q7" s="427"/>
      <c r="R7" s="427"/>
      <c r="S7" s="427"/>
      <c r="T7" s="147"/>
      <c r="U7" s="427"/>
      <c r="V7" s="146"/>
      <c r="W7" s="146"/>
      <c r="X7" s="146"/>
      <c r="Y7" s="146"/>
    </row>
    <row r="8" spans="1:259" s="4549" customFormat="1" ht="42.75" customHeight="1">
      <c r="A8" s="1380"/>
      <c r="B8" s="1389"/>
      <c r="C8" s="1380"/>
      <c r="D8" s="1406"/>
      <c r="E8" s="1467" t="s">
        <v>440</v>
      </c>
      <c r="F8" s="1467"/>
      <c r="G8" s="1468" t="s">
        <v>444</v>
      </c>
      <c r="H8" s="1468" t="s">
        <v>1254</v>
      </c>
      <c r="I8" s="1468" t="s">
        <v>448</v>
      </c>
      <c r="J8" s="4933"/>
      <c r="K8" s="4934"/>
      <c r="L8" s="4935"/>
      <c r="M8" s="1468" t="s">
        <v>1255</v>
      </c>
      <c r="N8" s="1468" t="s">
        <v>1256</v>
      </c>
      <c r="O8" s="1468" t="s">
        <v>1257</v>
      </c>
      <c r="P8" s="1460"/>
      <c r="Q8" s="1460"/>
      <c r="R8" s="1460"/>
      <c r="S8" s="1460"/>
      <c r="T8" s="1461"/>
      <c r="U8" s="1460"/>
      <c r="V8" s="1462"/>
      <c r="W8" s="1462"/>
      <c r="X8" s="1462"/>
      <c r="Y8" s="1462"/>
    </row>
    <row r="9" spans="1:259" s="1830" customFormat="1" ht="47.25" customHeight="1">
      <c r="A9" s="1056"/>
      <c r="B9" s="1061"/>
      <c r="C9" s="1056"/>
      <c r="D9" s="1406"/>
      <c r="E9" s="4738" t="s">
        <v>439</v>
      </c>
      <c r="F9" s="4926" t="s">
        <v>86</v>
      </c>
      <c r="G9" s="4926" t="s">
        <v>443</v>
      </c>
      <c r="H9" s="4926" t="s">
        <v>1258</v>
      </c>
      <c r="I9" s="4926"/>
      <c r="J9" s="4926" t="s">
        <v>1259</v>
      </c>
      <c r="K9" s="4926"/>
      <c r="L9" s="4926"/>
      <c r="M9" s="4926" t="s">
        <v>1260</v>
      </c>
      <c r="N9" s="4926" t="s">
        <v>1261</v>
      </c>
      <c r="O9" s="492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30" customFormat="1" ht="63.75" customHeight="1">
      <c r="A10" s="1056"/>
      <c r="B10" s="1061"/>
      <c r="C10" s="1056"/>
      <c r="D10" s="1406"/>
      <c r="E10" s="4627"/>
      <c r="F10" s="4932"/>
      <c r="G10" s="4932"/>
      <c r="H10" s="93" t="s">
        <v>1262</v>
      </c>
      <c r="I10" s="93" t="s">
        <v>447</v>
      </c>
      <c r="J10" s="4925"/>
      <c r="K10" s="4925"/>
      <c r="L10" s="4932"/>
      <c r="M10" s="4932"/>
      <c r="N10" s="4932"/>
      <c r="O10" s="4932"/>
      <c r="P10" s="427"/>
      <c r="Q10" s="427"/>
      <c r="R10" s="427"/>
      <c r="S10" s="427"/>
      <c r="T10" s="147"/>
      <c r="U10" s="427"/>
      <c r="V10" s="146"/>
      <c r="W10" s="146"/>
      <c r="X10" s="146"/>
      <c r="Y10" s="146"/>
    </row>
    <row r="11" spans="1:259" s="1832" customFormat="1" ht="22.5" customHeight="1">
      <c r="A11" s="4601">
        <v>26379339</v>
      </c>
      <c r="B11" s="1061">
        <v>1</v>
      </c>
      <c r="C11" s="1061"/>
      <c r="D11" s="719"/>
      <c r="E11" s="4738"/>
      <c r="F11" s="4738">
        <v>1</v>
      </c>
      <c r="G11" s="4930" t="str">
        <f>IF(region_name="","",region_name)</f>
        <v>Ульяновская область</v>
      </c>
      <c r="H11" s="4931"/>
      <c r="I11" s="4936"/>
      <c r="J11" s="402"/>
      <c r="K11" s="1395">
        <v>1</v>
      </c>
      <c r="L11" s="1469"/>
      <c r="M11" s="1456"/>
      <c r="N11" s="1456"/>
      <c r="O11" s="1455"/>
      <c r="P11" s="1445" t="e">
        <f ca="1">MERGEVALUE(G11)</f>
        <v>#NAME?</v>
      </c>
      <c r="Q11" s="438"/>
      <c r="R11" s="438"/>
      <c r="S11" s="427" t="str">
        <f t="array" ref="S11">IF(ISERROR(MATCH(MID(T11,1,250),MID(note_ter,1,250),0)),"n","y")</f>
        <v>n</v>
      </c>
      <c r="T11" s="438"/>
      <c r="U11" s="427"/>
      <c r="V11" s="1061"/>
      <c r="W11" s="1061"/>
      <c r="X11" s="354"/>
      <c r="Y11" s="1061"/>
      <c r="Z11" s="1061"/>
      <c r="AA11" s="1061"/>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32" customFormat="1" ht="22.5" customHeight="1">
      <c r="A12" s="4601"/>
      <c r="B12" s="1061"/>
      <c r="C12" s="1061"/>
      <c r="D12" s="719"/>
      <c r="E12" s="4738"/>
      <c r="F12" s="4738"/>
      <c r="G12" s="4930"/>
      <c r="H12" s="4931"/>
      <c r="I12" s="4937"/>
      <c r="J12" s="1454"/>
      <c r="K12" s="1411"/>
      <c r="L12" s="1411" t="s">
        <v>1252</v>
      </c>
      <c r="M12" s="1457"/>
      <c r="N12" s="1457"/>
      <c r="O12" s="1458"/>
      <c r="P12" s="1445"/>
      <c r="Q12" s="438"/>
      <c r="R12" s="438"/>
      <c r="S12" s="427"/>
      <c r="T12" s="438"/>
      <c r="U12" s="427"/>
      <c r="V12" s="1061"/>
      <c r="W12" s="1061"/>
      <c r="X12" s="354"/>
      <c r="Y12" s="1061"/>
      <c r="Z12" s="1061"/>
      <c r="AA12" s="1061"/>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32" customFormat="1" ht="22.5" customHeight="1">
      <c r="A13" s="4601"/>
      <c r="B13" s="1061"/>
      <c r="C13" s="347"/>
      <c r="D13" s="719"/>
      <c r="E13" s="1451"/>
      <c r="F13" s="1454"/>
      <c r="G13" s="1411" t="s">
        <v>1246</v>
      </c>
      <c r="H13" s="1452"/>
      <c r="I13" s="1452"/>
      <c r="J13" s="108"/>
      <c r="K13" s="108"/>
      <c r="L13" s="108"/>
      <c r="M13" s="108"/>
      <c r="N13" s="108"/>
      <c r="O13" s="1453"/>
      <c r="P13" s="1446"/>
      <c r="Q13" s="438"/>
      <c r="R13" s="438"/>
      <c r="S13" s="438"/>
      <c r="T13" s="427"/>
      <c r="U13" s="438"/>
      <c r="V13" s="1061"/>
      <c r="W13" s="1061"/>
      <c r="X13" s="354"/>
      <c r="Y13" s="1061"/>
      <c r="Z13" s="1061"/>
      <c r="AA13" s="1061"/>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30" customFormat="1" ht="21" customHeight="1">
      <c r="A14" s="1056"/>
      <c r="B14" s="1061"/>
      <c r="C14" s="1056"/>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30" customFormat="1" ht="14.25" customHeight="1">
      <c r="A15" s="1056"/>
      <c r="B15" s="1061"/>
      <c r="C15" s="1056"/>
      <c r="D15" s="383"/>
      <c r="E15" s="1056"/>
      <c r="F15" s="1056"/>
      <c r="G15" s="1056"/>
      <c r="H15" s="1056"/>
      <c r="I15" s="1056"/>
      <c r="J15" s="1056"/>
      <c r="K15" s="1056"/>
      <c r="L15" s="1056"/>
      <c r="M15" s="1056"/>
      <c r="N15" s="1056"/>
      <c r="O15" s="1056"/>
      <c r="P15" s="427"/>
      <c r="Q15" s="427"/>
      <c r="R15" s="427"/>
      <c r="S15" s="427"/>
      <c r="T15" s="147"/>
      <c r="U15" s="427"/>
      <c r="V15" s="146"/>
      <c r="W15" s="146"/>
      <c r="X15" s="146"/>
      <c r="Y15" s="146"/>
    </row>
    <row r="16" spans="1:259" s="1830" customFormat="1" ht="0.75" customHeight="1">
      <c r="A16" s="1056"/>
      <c r="B16" s="1061"/>
      <c r="C16" s="1056"/>
      <c r="D16" s="383"/>
      <c r="E16" s="1056"/>
      <c r="F16" s="1056"/>
      <c r="G16" s="1056"/>
      <c r="H16" s="1056"/>
      <c r="I16" s="1056"/>
      <c r="J16" s="1056"/>
      <c r="K16" s="1056"/>
      <c r="L16" s="1056"/>
      <c r="M16" s="1056"/>
      <c r="N16" s="1056"/>
      <c r="O16" s="1056"/>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sheetPr>
    <tabColor rgb="FFCCCCFF"/>
    <pageSetUpPr fitToPage="1"/>
  </sheetPr>
  <dimension ref="A1:L12"/>
  <sheetViews>
    <sheetView showGridLines="0" topLeftCell="C6" zoomScale="90" workbookViewId="0"/>
  </sheetViews>
  <sheetFormatPr defaultColWidth="9.140625" defaultRowHeight="14.25" customHeight="1"/>
  <cols>
    <col min="1" max="2" width="9.140625" style="4545" hidden="1"/>
    <col min="3" max="3" width="3.7109375" style="4546" customWidth="1"/>
    <col min="4" max="4" width="6.28515625" style="4545" customWidth="1"/>
    <col min="5" max="5" width="94.85546875" style="4545" customWidth="1"/>
    <col min="6" max="12" width="9.140625" style="4545"/>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4603" t="s">
        <v>1263</v>
      </c>
      <c r="E7" s="4603"/>
      <c r="F7" s="186"/>
    </row>
    <row r="8" spans="3:12" ht="3" customHeight="1">
      <c r="C8" s="25"/>
      <c r="D8" s="6"/>
      <c r="E8" s="6"/>
    </row>
    <row r="9" spans="3:12" ht="15.75" customHeight="1">
      <c r="C9" s="25"/>
      <c r="D9" s="36" t="s">
        <v>86</v>
      </c>
      <c r="E9" s="39" t="s">
        <v>426</v>
      </c>
    </row>
    <row r="10" spans="3:12" ht="12" customHeight="1">
      <c r="C10" s="25"/>
      <c r="D10" s="21" t="s">
        <v>174</v>
      </c>
      <c r="E10" s="21" t="s">
        <v>101</v>
      </c>
    </row>
    <row r="11" spans="3:12" ht="15" hidden="1" customHeight="1">
      <c r="C11" s="25"/>
      <c r="D11" s="43">
        <v>0</v>
      </c>
      <c r="E11" s="73"/>
    </row>
    <row r="12" spans="3:12" ht="14.25" customHeight="1">
      <c r="C12" s="25"/>
      <c r="D12" s="40"/>
      <c r="E12" s="38" t="s">
        <v>1223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sheetPr>
    <tabColor rgb="FFCCCCFF"/>
  </sheetPr>
  <dimension ref="A1:E4"/>
  <sheetViews>
    <sheetView showGridLines="0" zoomScale="90" workbookViewId="0"/>
  </sheetViews>
  <sheetFormatPr defaultColWidth="9.140625" defaultRowHeight="11.25" customHeight="1"/>
  <cols>
    <col min="1" max="1" width="1.7109375" style="4550" customWidth="1"/>
    <col min="2" max="2" width="34.5703125" style="4550" customWidth="1"/>
    <col min="3" max="3" width="85.5703125" style="4550" customWidth="1"/>
    <col min="4" max="4" width="17.7109375" style="4550" customWidth="1"/>
    <col min="5" max="5" width="9.140625" style="4550"/>
  </cols>
  <sheetData>
    <row r="1" spans="2:5" ht="3" customHeight="1"/>
    <row r="2" spans="2:5" ht="22.5" customHeight="1">
      <c r="B2" s="4942" t="s">
        <v>1264</v>
      </c>
      <c r="C2" s="4942"/>
      <c r="D2" s="4942"/>
      <c r="E2" s="187"/>
    </row>
    <row r="3" spans="2:5" ht="3" customHeight="1"/>
    <row r="4" spans="2:5" ht="21.75" customHeight="1">
      <c r="B4" s="318" t="s">
        <v>1265</v>
      </c>
      <c r="C4" s="318" t="s">
        <v>1266</v>
      </c>
      <c r="D4" s="318" t="s">
        <v>1267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sheetPr>
    <tabColor rgb="FFFFCC99"/>
  </sheetPr>
  <dimension ref="A2:GB207"/>
  <sheetViews>
    <sheetView showGridLines="0" zoomScale="85" workbookViewId="0"/>
  </sheetViews>
  <sheetFormatPr defaultRowHeight="17.100000000000001" customHeight="1"/>
  <cols>
    <col min="1" max="1" width="26.5703125" style="4550" customWidth="1"/>
    <col min="2" max="2" width="10" style="4550" customWidth="1"/>
    <col min="3" max="3" width="9.140625" style="4550"/>
    <col min="4" max="4" width="11.140625" style="4550" customWidth="1"/>
    <col min="5" max="5" width="16.5703125" style="4550" customWidth="1"/>
    <col min="6" max="6" width="16.28515625" style="4550" customWidth="1"/>
    <col min="7" max="7" width="19.140625" style="4550" customWidth="1"/>
    <col min="8" max="11" width="10" style="4550" customWidth="1"/>
    <col min="12" max="12" width="12.7109375" style="4550" customWidth="1"/>
    <col min="13" max="13" width="61.28515625" style="4550" customWidth="1"/>
    <col min="14" max="14" width="10" style="4550" customWidth="1"/>
    <col min="15" max="17" width="23.7109375" style="4550" customWidth="1"/>
    <col min="18" max="18" width="11.7109375" style="4550" customWidth="1"/>
    <col min="19" max="19" width="8.5703125" style="4550" customWidth="1"/>
    <col min="20" max="20" width="11.7109375" style="4550" customWidth="1"/>
    <col min="21" max="21" width="8.5703125" style="4550" customWidth="1"/>
    <col min="22" max="22" width="4.7109375" style="4550" customWidth="1"/>
    <col min="23" max="23" width="115.7109375" style="4550" customWidth="1"/>
    <col min="24" max="24" width="115.28515625" style="4550" customWidth="1"/>
    <col min="25" max="27" width="9.140625" style="4550"/>
    <col min="28" max="28" width="115.7109375" style="4550" customWidth="1"/>
    <col min="29" max="29" width="9.140625" style="4550"/>
    <col min="30" max="90" width="115.7109375" style="4550" customWidth="1"/>
    <col min="91" max="184" width="9.140625" style="4550"/>
  </cols>
  <sheetData>
    <row r="2" spans="1:80" s="4551" customFormat="1" ht="17.25" customHeight="1">
      <c r="A2" s="1727" t="s">
        <v>1268</v>
      </c>
    </row>
    <row r="4" spans="1:80" s="4545" customFormat="1" ht="15" customHeight="1">
      <c r="C4" s="1728"/>
      <c r="D4" s="43"/>
      <c r="E4" s="309"/>
    </row>
    <row r="6" spans="1:80" s="4551" customFormat="1" ht="17.25" customHeight="1">
      <c r="A6" s="1727" t="s">
        <v>1269</v>
      </c>
    </row>
    <row r="8" spans="1:80" s="4545" customFormat="1" ht="17.25" customHeight="1">
      <c r="C8" s="1729"/>
      <c r="D8" s="43"/>
      <c r="E8" s="44"/>
    </row>
    <row r="11" spans="1:80" s="4551" customFormat="1" ht="17.25" customHeight="1">
      <c r="A11" s="1727" t="s">
        <v>1270</v>
      </c>
    </row>
    <row r="13" spans="1:80" s="4552" customFormat="1" ht="15" customHeight="1">
      <c r="A13" s="4602">
        <v>1</v>
      </c>
      <c r="B13" s="1061"/>
      <c r="C13" s="719" t="s">
        <v>102</v>
      </c>
      <c r="D13" s="1730"/>
      <c r="E13" s="1717">
        <f>A13</f>
        <v>1</v>
      </c>
      <c r="F13" s="722"/>
      <c r="G13" s="466" t="str">
        <f>"Территория "&amp;E13</f>
        <v>Территория 1</v>
      </c>
      <c r="H13" s="710"/>
      <c r="I13" s="710"/>
      <c r="J13" s="707"/>
      <c r="K13" s="1537"/>
      <c r="L13" s="1537"/>
      <c r="M13" s="1537"/>
      <c r="N13" s="147"/>
      <c r="O13" s="1537"/>
      <c r="P13" s="146"/>
      <c r="Q13" s="146"/>
      <c r="R13" s="146"/>
      <c r="S13" s="146"/>
    </row>
    <row r="14" spans="1:80" s="1832" customFormat="1" ht="15" customHeight="1">
      <c r="A14" s="4602"/>
      <c r="B14" s="1061">
        <v>1</v>
      </c>
      <c r="C14" s="1061"/>
      <c r="D14" s="718"/>
      <c r="E14" s="1725" t="str">
        <f>A13&amp;"."&amp;B14</f>
        <v>1.1</v>
      </c>
      <c r="F14" s="721">
        <f>$F$20</f>
        <v>0</v>
      </c>
      <c r="G14" s="711"/>
      <c r="H14" s="711"/>
      <c r="I14" s="709"/>
      <c r="J14" s="1537"/>
      <c r="K14" s="1549"/>
      <c r="L14" s="1549"/>
      <c r="M14" s="1537" t="str">
        <f t="array" ref="M14">IF(ISERROR(MATCH(MID(N14,1,250),MID(note_ter,1,250),0)),"n","y")</f>
        <v>n</v>
      </c>
      <c r="N14" s="1549"/>
      <c r="O14" s="1537" t="str">
        <f>H14&amp;"("&amp;I14&amp;")"</f>
        <v>()</v>
      </c>
      <c r="P14" s="1061"/>
      <c r="Q14" s="1061"/>
      <c r="R14" s="354"/>
      <c r="S14" s="1061"/>
      <c r="T14" s="1061"/>
      <c r="U14" s="1061"/>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32" customFormat="1" ht="15" customHeight="1">
      <c r="A15" s="4602"/>
      <c r="B15" s="1061"/>
      <c r="C15" s="347"/>
      <c r="D15" s="719"/>
      <c r="E15" s="355"/>
      <c r="F15" s="98"/>
      <c r="G15" s="350" t="s">
        <v>106</v>
      </c>
      <c r="H15" s="108"/>
      <c r="I15" s="358"/>
      <c r="J15" s="1549"/>
      <c r="K15" s="1549"/>
      <c r="L15" s="1549"/>
      <c r="M15" s="1549"/>
      <c r="N15" s="1537"/>
      <c r="O15" s="1549"/>
      <c r="P15" s="1061"/>
      <c r="Q15" s="1061"/>
      <c r="R15" s="354"/>
      <c r="S15" s="1061"/>
      <c r="T15" s="1061"/>
      <c r="U15" s="1061"/>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4551" customFormat="1" ht="17.25" customHeight="1">
      <c r="A17" s="1727" t="s">
        <v>1271</v>
      </c>
    </row>
    <row r="19" spans="1:80" s="4077" customFormat="1" ht="15" customHeight="1">
      <c r="A19" s="1793"/>
      <c r="B19" s="1283">
        <v>1</v>
      </c>
      <c r="C19" s="1283"/>
      <c r="D19" s="718" t="s">
        <v>102</v>
      </c>
      <c r="E19" s="1789"/>
      <c r="F19" s="1794">
        <f>$F$20</f>
        <v>0</v>
      </c>
      <c r="G19" s="1798"/>
      <c r="H19" s="1798"/>
      <c r="I19" s="1796"/>
      <c r="J19" s="1537"/>
      <c r="K19" s="1549"/>
      <c r="L19" s="1549"/>
      <c r="M19" s="1537" t="str">
        <f t="array" ref="M19">IF(ISERROR(MATCH(MID(N19,1,250),MID(note_ter,1,250),0)),"n","y")</f>
        <v>n</v>
      </c>
      <c r="N19" s="1549"/>
      <c r="O19" s="1537" t="str">
        <f>H19&amp;"("&amp;I19&amp;")"</f>
        <v>()</v>
      </c>
      <c r="P19" s="1283"/>
      <c r="Q19" s="1283"/>
      <c r="R19" s="354"/>
      <c r="S19" s="1283"/>
      <c r="T19" s="1283"/>
      <c r="U19" s="1283"/>
      <c r="V19" s="751"/>
      <c r="W19" s="751"/>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1"/>
      <c r="BT19" s="751"/>
      <c r="BU19" s="751"/>
      <c r="BV19" s="751"/>
      <c r="BW19" s="751"/>
      <c r="BX19" s="751"/>
      <c r="BY19" s="751"/>
      <c r="BZ19" s="751"/>
      <c r="CA19" s="751"/>
      <c r="CB19" s="751"/>
    </row>
    <row r="21" spans="1:80" s="1832" customFormat="1" ht="15" customHeight="1">
      <c r="A21" s="1727" t="s">
        <v>1272</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32" customFormat="1" ht="15" customHeight="1">
      <c r="U22" s="106"/>
    </row>
    <row r="23" spans="1:80" s="4553" customFormat="1" ht="15" customHeight="1">
      <c r="A23" s="357"/>
      <c r="B23" s="357"/>
      <c r="C23" s="1639" t="s">
        <v>102</v>
      </c>
      <c r="D23" s="4609" t="s">
        <v>174</v>
      </c>
      <c r="E23" s="4610"/>
      <c r="F23" s="4608" t="s">
        <v>55</v>
      </c>
      <c r="G23" s="4976"/>
      <c r="H23" s="4627">
        <v>1</v>
      </c>
      <c r="I23" s="4978" t="str">
        <f>IF(U23="","",INDEX(TERRITORY_MR_LIST,MATCH(U23,TERRITORY_LIST_ID,0)))</f>
        <v/>
      </c>
      <c r="J23" s="4608" t="s">
        <v>55</v>
      </c>
      <c r="K23" s="750"/>
      <c r="L23" s="1694" t="s">
        <v>174</v>
      </c>
      <c r="M23" s="526"/>
      <c r="N23" s="527"/>
      <c r="O23" s="527"/>
      <c r="P23" s="527"/>
      <c r="Q23" s="527"/>
      <c r="R23" s="527"/>
      <c r="S23" s="527"/>
      <c r="T23" s="527"/>
      <c r="U23" s="528"/>
      <c r="V23" s="527"/>
      <c r="W23" s="527"/>
      <c r="X23" s="519"/>
      <c r="Y23" s="519" t="s">
        <v>180</v>
      </c>
      <c r="Z23" s="519">
        <v>1705000</v>
      </c>
      <c r="AA23" s="519"/>
      <c r="AB23" s="519"/>
      <c r="AC23" s="519"/>
      <c r="AD23" s="519"/>
      <c r="AE23" s="519"/>
      <c r="AF23" s="519"/>
      <c r="AG23" s="519"/>
      <c r="AH23" s="519"/>
      <c r="AI23" s="519"/>
      <c r="AJ23" s="519"/>
      <c r="AK23" s="519"/>
      <c r="AL23" s="519"/>
    </row>
    <row r="24" spans="1:80" s="4553" customFormat="1" ht="15" customHeight="1">
      <c r="A24" s="357"/>
      <c r="B24" s="357"/>
      <c r="C24" s="97"/>
      <c r="D24" s="4609"/>
      <c r="E24" s="4611"/>
      <c r="F24" s="4608"/>
      <c r="G24" s="4977"/>
      <c r="H24" s="4627"/>
      <c r="I24" s="4979"/>
      <c r="J24" s="4608"/>
      <c r="K24" s="355"/>
      <c r="L24" s="98"/>
      <c r="M24" s="529" t="s">
        <v>181</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4553" customFormat="1" ht="15" customHeight="1">
      <c r="A25" s="357"/>
      <c r="B25" s="357"/>
      <c r="C25" s="97"/>
      <c r="D25" s="4609"/>
      <c r="E25" s="4612"/>
      <c r="F25" s="4608"/>
      <c r="G25" s="355"/>
      <c r="H25" s="98"/>
      <c r="I25" s="506" t="s">
        <v>182</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32" customFormat="1" ht="15" customHeight="1">
      <c r="U26" s="106"/>
    </row>
    <row r="27" spans="1:80" s="1832" customFormat="1" ht="15" customHeight="1">
      <c r="A27" s="1727" t="s">
        <v>1273</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32" customFormat="1" ht="15" customHeight="1">
      <c r="U28" s="106"/>
    </row>
    <row r="29" spans="1:80" s="4553" customFormat="1" ht="15" customHeight="1">
      <c r="A29" s="357"/>
      <c r="B29" s="357"/>
      <c r="C29" s="97"/>
      <c r="D29" s="1731"/>
      <c r="E29" s="1731"/>
      <c r="F29" s="1731"/>
      <c r="G29" s="4980" t="s">
        <v>102</v>
      </c>
      <c r="H29" s="4597">
        <v>1</v>
      </c>
      <c r="I29" s="4981" t="str">
        <f>IF(U29="","",INDEX(TERRITORY_MR_LIST,MATCH(U29,TERRITORY_LIST_ID,0)))</f>
        <v/>
      </c>
      <c r="J29" s="4608" t="s">
        <v>55</v>
      </c>
      <c r="K29" s="750"/>
      <c r="L29" s="1694" t="s">
        <v>174</v>
      </c>
      <c r="M29" s="526"/>
      <c r="N29" s="527"/>
      <c r="O29" s="527"/>
      <c r="P29" s="527"/>
      <c r="Q29" s="527"/>
      <c r="R29" s="527"/>
      <c r="S29" s="527"/>
      <c r="T29" s="527"/>
      <c r="U29" s="528"/>
      <c r="V29" s="527"/>
      <c r="W29" s="527"/>
      <c r="X29" s="519"/>
      <c r="Y29" s="519" t="s">
        <v>180</v>
      </c>
      <c r="Z29" s="519">
        <v>1705000</v>
      </c>
      <c r="AA29" s="519"/>
      <c r="AB29" s="519"/>
      <c r="AC29" s="519"/>
      <c r="AD29" s="519"/>
      <c r="AE29" s="519"/>
      <c r="AF29" s="519"/>
      <c r="AG29" s="519"/>
      <c r="AH29" s="519"/>
      <c r="AI29" s="519"/>
      <c r="AJ29" s="519"/>
      <c r="AK29" s="519"/>
      <c r="AL29" s="519"/>
    </row>
    <row r="30" spans="1:80" s="4553" customFormat="1" ht="15" customHeight="1">
      <c r="A30" s="357"/>
      <c r="B30" s="357"/>
      <c r="C30" s="97"/>
      <c r="D30" s="1731"/>
      <c r="E30" s="1731"/>
      <c r="F30" s="1731"/>
      <c r="G30" s="4980"/>
      <c r="H30" s="4597"/>
      <c r="I30" s="4981"/>
      <c r="J30" s="4608"/>
      <c r="K30" s="355"/>
      <c r="L30" s="98"/>
      <c r="M30" s="529" t="s">
        <v>181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32" customFormat="1" ht="15" customHeight="1">
      <c r="U31" s="106"/>
    </row>
    <row r="32" spans="1:80" s="1832" customFormat="1" ht="15" customHeight="1">
      <c r="A32" s="1727" t="s">
        <v>1274</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32" customFormat="1" ht="15" customHeight="1">
      <c r="U33" s="106"/>
    </row>
    <row r="34" spans="1:38" s="4553" customFormat="1" ht="15" customHeight="1">
      <c r="A34" s="357"/>
      <c r="B34" s="357"/>
      <c r="C34" s="97"/>
      <c r="D34" s="1731"/>
      <c r="E34" s="1731"/>
      <c r="F34" s="1731"/>
      <c r="G34" s="1731"/>
      <c r="H34" s="1731"/>
      <c r="I34" s="1731"/>
      <c r="J34" s="1731"/>
      <c r="K34" s="1711" t="s">
        <v>102</v>
      </c>
      <c r="L34" s="1640" t="s">
        <v>174</v>
      </c>
      <c r="M34" s="729"/>
      <c r="N34" s="730"/>
      <c r="O34" s="527"/>
      <c r="P34" s="527"/>
      <c r="Q34" s="527"/>
      <c r="R34" s="527"/>
      <c r="S34" s="527"/>
      <c r="T34" s="527"/>
      <c r="U34" s="528"/>
      <c r="V34" s="527"/>
      <c r="W34" s="527"/>
      <c r="X34" s="519"/>
      <c r="Y34" s="519" t="s">
        <v>180</v>
      </c>
      <c r="Z34" s="519">
        <v>1705000</v>
      </c>
      <c r="AA34" s="519"/>
      <c r="AB34" s="519"/>
      <c r="AC34" s="519"/>
      <c r="AD34" s="519"/>
      <c r="AE34" s="519"/>
      <c r="AF34" s="519"/>
      <c r="AG34" s="519"/>
      <c r="AH34" s="519"/>
      <c r="AI34" s="519"/>
      <c r="AJ34" s="519"/>
      <c r="AK34" s="519"/>
      <c r="AL34" s="519"/>
    </row>
    <row r="35" spans="1:38" s="1832" customFormat="1" ht="15" customHeight="1">
      <c r="U35" s="106"/>
    </row>
    <row r="36" spans="1:38" s="1832" customFormat="1" ht="15" customHeight="1">
      <c r="U36" s="106"/>
    </row>
    <row r="37" spans="1:38" s="4551" customFormat="1" ht="11.25" customHeight="1">
      <c r="A37" s="1727" t="s">
        <v>1275</v>
      </c>
    </row>
    <row r="38" spans="1:38" ht="11.25" customHeight="1"/>
    <row r="39" spans="1:38" s="1929" customFormat="1" ht="22.5" customHeight="1">
      <c r="A39" s="1703"/>
      <c r="B39" s="386"/>
      <c r="C39" s="773"/>
      <c r="D39" s="373"/>
      <c r="E39" s="774"/>
      <c r="F39" s="1724"/>
      <c r="G39" s="1732"/>
      <c r="H39" s="403"/>
    </row>
    <row r="40" spans="1:38" ht="11.25" customHeight="1"/>
    <row r="41" spans="1:38" s="4551" customFormat="1" ht="11.25" customHeight="1">
      <c r="A41" s="1727" t="s">
        <v>1276</v>
      </c>
    </row>
    <row r="42" spans="1:38" ht="11.25" customHeight="1"/>
    <row r="43" spans="1:38" s="1929" customFormat="1" ht="22.5" customHeight="1">
      <c r="A43" s="386"/>
      <c r="B43" s="386"/>
      <c r="C43" s="386"/>
      <c r="D43" s="373"/>
      <c r="E43" s="774"/>
      <c r="F43" s="775"/>
      <c r="G43" s="1732"/>
      <c r="H43" s="403"/>
    </row>
    <row r="46" spans="1:38" s="4551" customFormat="1" ht="17.25" customHeight="1">
      <c r="A46" s="1727" t="s">
        <v>1277</v>
      </c>
    </row>
    <row r="48" spans="1:38" s="1943" customFormat="1" ht="18.75" customHeight="1">
      <c r="A48" s="23"/>
      <c r="B48" s="1733"/>
      <c r="C48" s="1733"/>
      <c r="D48" s="1734"/>
      <c r="E48" s="1721"/>
      <c r="F48" s="782">
        <v>13</v>
      </c>
      <c r="G48" s="781"/>
      <c r="H48" s="711"/>
      <c r="I48" s="709"/>
      <c r="J48" s="447" t="s">
        <v>65</v>
      </c>
      <c r="K48" s="1735" t="s">
        <v>24</v>
      </c>
      <c r="L48" s="23"/>
      <c r="M48" s="1549"/>
      <c r="N48" s="1549"/>
      <c r="O48" s="1549"/>
      <c r="P48" s="443" t="s">
        <v>533</v>
      </c>
      <c r="Q48" s="443" t="s">
        <v>534</v>
      </c>
      <c r="R48" s="444" t="s">
        <v>535</v>
      </c>
      <c r="S48" s="1549" t="s">
        <v>536</v>
      </c>
      <c r="T48" s="1549"/>
      <c r="U48" s="1549"/>
      <c r="V48" s="1549"/>
    </row>
    <row r="50" spans="1:45" s="4551" customFormat="1" ht="11.25" customHeight="1">
      <c r="A50" s="1727" t="s">
        <v>1278</v>
      </c>
    </row>
    <row r="52" spans="1:45" s="1924" customFormat="1" ht="14.25" customHeight="1">
      <c r="C52" s="1600"/>
      <c r="D52" s="1781"/>
      <c r="E52" s="1689" t="s">
        <v>24</v>
      </c>
      <c r="F52" s="1780"/>
      <c r="G52" s="770"/>
      <c r="H52" s="1690"/>
      <c r="I52" s="1690"/>
      <c r="J52" s="366"/>
      <c r="K52" s="1775"/>
      <c r="L52" s="365"/>
      <c r="M52" s="1775"/>
      <c r="N52" s="366"/>
      <c r="O52" s="1775"/>
      <c r="P52" s="366"/>
      <c r="Q52" s="1775"/>
      <c r="R52" s="366"/>
      <c r="S52" s="768"/>
      <c r="T52" s="1690"/>
      <c r="U52" s="366"/>
      <c r="V52" s="366"/>
      <c r="W52" s="1779"/>
      <c r="X52" s="1690"/>
      <c r="Y52" s="366"/>
      <c r="Z52" s="366"/>
      <c r="AA52" s="1779"/>
      <c r="AB52" s="1690"/>
      <c r="AC52" s="366"/>
      <c r="AD52" s="1779"/>
      <c r="AE52" s="23"/>
      <c r="AF52" s="23"/>
      <c r="AG52" s="23"/>
      <c r="AH52" s="23"/>
      <c r="AJ52" s="1549"/>
      <c r="AK52" s="1549"/>
      <c r="AL52" s="1549"/>
      <c r="AM52" s="1549"/>
      <c r="AN52" s="1549"/>
      <c r="AO52" s="1549"/>
      <c r="AP52" s="1537" t="s">
        <v>522</v>
      </c>
      <c r="AQ52" s="1537" t="s">
        <v>522</v>
      </c>
      <c r="AR52" s="1549"/>
      <c r="AS52" s="1549"/>
    </row>
    <row r="54" spans="1:45" s="4551" customFormat="1" ht="11.25" customHeight="1">
      <c r="A54" s="1727" t="s">
        <v>1279</v>
      </c>
    </row>
    <row r="56" spans="1:45" s="4543" customFormat="1" ht="15" customHeight="1">
      <c r="A56" s="69" t="s">
        <v>88</v>
      </c>
      <c r="B56" s="52" t="s">
        <v>24</v>
      </c>
      <c r="C56" s="1736"/>
      <c r="D56" s="55"/>
      <c r="E56" s="316"/>
      <c r="F56" s="316"/>
      <c r="G56" s="1715"/>
      <c r="H56" s="1735"/>
      <c r="I56" s="1716"/>
      <c r="K56" s="191"/>
      <c r="L56" s="192"/>
    </row>
    <row r="58" spans="1:45" s="4551" customFormat="1" ht="11.25" customHeight="1">
      <c r="A58" s="1727" t="s">
        <v>1280</v>
      </c>
    </row>
    <row r="60" spans="1:45" s="1924" customFormat="1" ht="14.25" customHeight="1">
      <c r="A60" s="269"/>
      <c r="B60" s="1061"/>
      <c r="C60" s="306"/>
      <c r="D60" s="1722"/>
      <c r="E60" s="800"/>
      <c r="F60" s="1735"/>
      <c r="G60" s="23"/>
      <c r="I60" s="1537"/>
      <c r="J60" s="1537"/>
    </row>
    <row r="62" spans="1:45" s="4551" customFormat="1" ht="11.25" customHeight="1">
      <c r="A62" s="1727" t="s">
        <v>1281</v>
      </c>
    </row>
    <row r="64" spans="1:45" s="1924" customFormat="1" ht="27" customHeight="1">
      <c r="A64" s="1067"/>
      <c r="B64" s="1067"/>
      <c r="C64" s="1067"/>
      <c r="D64" s="1061"/>
      <c r="E64" s="1737"/>
      <c r="F64" s="4993"/>
      <c r="G64" s="4994"/>
      <c r="H64" s="4995" t="s">
        <v>65</v>
      </c>
      <c r="I64" s="4997"/>
      <c r="J64" s="4971"/>
      <c r="K64" s="4999"/>
      <c r="L64" s="4973"/>
      <c r="M64" s="4973"/>
      <c r="N64" s="4974"/>
      <c r="O64" s="4974"/>
      <c r="P64" s="4975" t="e">
        <f>DATEDIF(DATEVALUE(N64),DATEVALUE(O64),"y")&amp;"г. "&amp;DATEDIF(DATEVALUE(N64),DATEVALUE(O64),"ym")&amp;"мес. "&amp;DATEVALUE(O64)-DATE(YEAR(DATEVALUE(O64)),MONTH(DATEVALUE(O64)),1)&amp;"дн. "</f>
        <v>#VALUE!</v>
      </c>
      <c r="Q64" s="4970"/>
      <c r="R64" s="4970"/>
      <c r="S64" s="4970"/>
      <c r="T64" s="4971"/>
      <c r="U64" s="4970"/>
      <c r="V64" s="4970"/>
      <c r="W64" s="4970"/>
      <c r="X64" s="4971"/>
      <c r="Y64" s="4968" t="s">
        <v>65</v>
      </c>
      <c r="Z64" s="1720"/>
      <c r="AA64" s="1704">
        <v>1</v>
      </c>
      <c r="AB64" s="1152"/>
      <c r="AD64" s="1549" t="s">
        <v>1282</v>
      </c>
    </row>
    <row r="65" spans="1:58" s="1924" customFormat="1" ht="10.5" customHeight="1">
      <c r="A65" s="1067"/>
      <c r="B65" s="1067"/>
      <c r="C65" s="1067"/>
      <c r="D65" s="1061"/>
      <c r="E65" s="857"/>
      <c r="F65" s="4993"/>
      <c r="G65" s="4994"/>
      <c r="H65" s="4996"/>
      <c r="I65" s="4998"/>
      <c r="J65" s="4972"/>
      <c r="K65" s="4999"/>
      <c r="L65" s="4973"/>
      <c r="M65" s="4973"/>
      <c r="N65" s="4974"/>
      <c r="O65" s="4974"/>
      <c r="P65" s="4975"/>
      <c r="Q65" s="4970"/>
      <c r="R65" s="4970"/>
      <c r="S65" s="4970"/>
      <c r="T65" s="4972"/>
      <c r="U65" s="4970"/>
      <c r="V65" s="4970"/>
      <c r="W65" s="4970"/>
      <c r="X65" s="4972"/>
      <c r="Y65" s="4969"/>
      <c r="Z65" s="273"/>
      <c r="AA65" s="498"/>
      <c r="AB65" s="574" t="s">
        <v>1283</v>
      </c>
    </row>
    <row r="67" spans="1:58" s="4551" customFormat="1" ht="11.25" customHeight="1">
      <c r="A67" s="1727" t="s">
        <v>1284</v>
      </c>
    </row>
    <row r="69" spans="1:58" s="1924" customFormat="1" ht="27" customHeight="1">
      <c r="A69" s="1067"/>
      <c r="B69" s="1067"/>
      <c r="C69" s="1067"/>
      <c r="D69" s="1061"/>
      <c r="E69" s="1737"/>
      <c r="F69" s="1709"/>
      <c r="G69" s="1658"/>
      <c r="H69" s="1659"/>
      <c r="I69" s="1660"/>
      <c r="J69" s="1661"/>
      <c r="K69" s="1662"/>
      <c r="L69" s="1663"/>
      <c r="M69" s="1663"/>
      <c r="N69" s="1664"/>
      <c r="O69" s="1664"/>
      <c r="P69" s="1665"/>
      <c r="Q69" s="1666"/>
      <c r="R69" s="1666"/>
      <c r="S69" s="1666"/>
      <c r="T69" s="1661"/>
      <c r="U69" s="1666"/>
      <c r="V69" s="1666"/>
      <c r="W69" s="1666"/>
      <c r="X69" s="1661"/>
      <c r="Y69" s="1659"/>
      <c r="Z69" s="1720"/>
      <c r="AA69" s="1704">
        <v>1</v>
      </c>
      <c r="AB69" s="1152"/>
      <c r="AD69" s="1549" t="s">
        <v>1282</v>
      </c>
    </row>
    <row r="71" spans="1:58" s="4551" customFormat="1" ht="11.25" customHeight="1">
      <c r="A71" s="1727" t="s">
        <v>1285</v>
      </c>
    </row>
    <row r="72" spans="1:58" ht="17.25" customHeight="1"/>
    <row r="73" spans="1:58" s="1924" customFormat="1" ht="21" customHeight="1">
      <c r="A73" s="1068"/>
      <c r="B73" s="1067"/>
      <c r="C73" s="1067"/>
      <c r="D73" s="1061"/>
      <c r="E73" s="1071"/>
      <c r="F73" s="1026" t="e">
        <f>INDEX(IP_MAIN_LIST_NAME_IP,MATCH(A73,IP_MAIN_LIST_IP_ID,0))&amp;" ("&amp;INDEX(IP_MAIN_START_DATE,MATCH(A73,IP_MAIN_LIST_IP_ID,0))&amp;"-"&amp;INDEX(IP_MAIN_END_DATE,MATCH(A73,IP_MAIN_LIST_IP_ID,0))&amp;")"</f>
        <v>#N/A</v>
      </c>
      <c r="G73" s="1027"/>
      <c r="H73" s="1027"/>
      <c r="I73" s="1088"/>
      <c r="J73" s="1088"/>
      <c r="K73" s="1089"/>
      <c r="L73" s="1089"/>
      <c r="M73" s="1089"/>
      <c r="N73" s="1090"/>
      <c r="O73" s="1090"/>
      <c r="P73" s="1090"/>
      <c r="Q73" s="1090"/>
      <c r="R73" s="1090"/>
      <c r="S73" s="1090"/>
      <c r="T73" s="1090"/>
      <c r="U73" s="1090"/>
      <c r="V73" s="1090"/>
      <c r="W73" s="1090"/>
      <c r="X73" s="1090"/>
      <c r="Y73" s="1090"/>
      <c r="Z73" s="1090"/>
      <c r="AA73" s="1090"/>
      <c r="AB73" s="1090"/>
      <c r="AC73" s="1090"/>
      <c r="AD73" s="1090"/>
      <c r="AE73" s="1091"/>
      <c r="AF73" s="1089"/>
      <c r="AG73" s="1089"/>
      <c r="AH73" s="1089"/>
      <c r="AI73" s="1089"/>
      <c r="AJ73" s="1089"/>
      <c r="AK73" s="1089"/>
      <c r="AL73" s="1072"/>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924" customFormat="1" ht="11.25" customHeight="1">
      <c r="A74" s="1067"/>
      <c r="B74" s="1067"/>
      <c r="C74" s="1067"/>
      <c r="D74" s="1061"/>
      <c r="E74" s="1071"/>
      <c r="F74" s="4966"/>
      <c r="G74" s="4879"/>
      <c r="H74" s="4879" t="s">
        <v>174</v>
      </c>
      <c r="I74" s="4952"/>
      <c r="J74" s="4941"/>
      <c r="K74" s="4953"/>
      <c r="L74" s="4945" t="s">
        <v>55</v>
      </c>
      <c r="M74" s="4609"/>
      <c r="N74" s="1080"/>
      <c r="O74" s="1079" t="s">
        <v>517</v>
      </c>
      <c r="P74" s="1080"/>
      <c r="Q74" s="1080"/>
      <c r="R74" s="1080"/>
      <c r="S74" s="1080"/>
      <c r="T74" s="1080"/>
      <c r="U74" s="1080"/>
      <c r="V74" s="1080"/>
      <c r="W74" s="1080"/>
      <c r="X74" s="1080"/>
      <c r="Y74" s="1080"/>
      <c r="Z74" s="1080"/>
      <c r="AA74" s="1080"/>
      <c r="AB74" s="1080"/>
      <c r="AC74" s="1080"/>
      <c r="AD74" s="1080"/>
      <c r="AE74" s="1080"/>
      <c r="AF74" s="4944"/>
      <c r="AG74" s="4945"/>
      <c r="AH74" s="4945"/>
      <c r="AI74" s="4944"/>
      <c r="AJ74" s="4945"/>
      <c r="AK74" s="4945"/>
      <c r="AL74" s="1074"/>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924" customFormat="1" ht="11.25" customHeight="1">
      <c r="A75" s="1067"/>
      <c r="B75" s="1067"/>
      <c r="C75" s="1067"/>
      <c r="D75" s="1061"/>
      <c r="E75" s="1071"/>
      <c r="F75" s="4966"/>
      <c r="G75" s="4879"/>
      <c r="H75" s="4879"/>
      <c r="I75" s="4952"/>
      <c r="J75" s="4941"/>
      <c r="K75" s="4953"/>
      <c r="L75" s="4945"/>
      <c r="M75" s="4609"/>
      <c r="N75" s="4946"/>
      <c r="O75" s="4947">
        <v>1</v>
      </c>
      <c r="P75" s="4948" t="s">
        <v>55</v>
      </c>
      <c r="Q75" s="4861" t="s">
        <v>24</v>
      </c>
      <c r="R75" s="4861" t="s">
        <v>24</v>
      </c>
      <c r="S75" s="4861" t="s">
        <v>24</v>
      </c>
      <c r="T75" s="4861" t="s">
        <v>24</v>
      </c>
      <c r="U75" s="4861" t="s">
        <v>24</v>
      </c>
      <c r="V75" s="4861" t="s">
        <v>24</v>
      </c>
      <c r="W75" s="4861" t="s">
        <v>24</v>
      </c>
      <c r="X75" s="4861" t="s">
        <v>24</v>
      </c>
      <c r="Y75" s="4861"/>
      <c r="Z75" s="1077"/>
      <c r="AA75" s="1078"/>
      <c r="AB75" s="1078"/>
      <c r="AC75" s="1082"/>
      <c r="AD75" s="1082"/>
      <c r="AE75" s="1083"/>
      <c r="AF75" s="4944"/>
      <c r="AG75" s="4945"/>
      <c r="AH75" s="4945"/>
      <c r="AI75" s="4944"/>
      <c r="AJ75" s="4945"/>
      <c r="AK75" s="4945"/>
      <c r="AL75" s="1074"/>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924" customFormat="1" ht="11.25" customHeight="1">
      <c r="A76" s="1067"/>
      <c r="B76" s="1067"/>
      <c r="C76" s="1067"/>
      <c r="D76" s="1061"/>
      <c r="E76" s="1071"/>
      <c r="F76" s="4966"/>
      <c r="G76" s="4879"/>
      <c r="H76" s="4879"/>
      <c r="I76" s="4952"/>
      <c r="J76" s="4941"/>
      <c r="K76" s="4953"/>
      <c r="L76" s="4945"/>
      <c r="M76" s="4609"/>
      <c r="N76" s="4946"/>
      <c r="O76" s="4947"/>
      <c r="P76" s="4949"/>
      <c r="Q76" s="4861"/>
      <c r="R76" s="4861"/>
      <c r="S76" s="4951"/>
      <c r="T76" s="4861"/>
      <c r="U76" s="4861"/>
      <c r="V76" s="4861"/>
      <c r="W76" s="4861"/>
      <c r="X76" s="4861"/>
      <c r="Y76" s="4861"/>
      <c r="Z76" s="1738"/>
      <c r="AA76" s="1706">
        <v>1</v>
      </c>
      <c r="AB76" s="1081"/>
      <c r="AC76" s="1070"/>
      <c r="AD76" s="1081">
        <f>AB76</f>
        <v>0</v>
      </c>
      <c r="AE76" s="1070"/>
      <c r="AF76" s="4944"/>
      <c r="AG76" s="4945"/>
      <c r="AH76" s="4945"/>
      <c r="AI76" s="4944"/>
      <c r="AJ76" s="4945"/>
      <c r="AK76" s="4945"/>
      <c r="AL76" s="1074"/>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924" customFormat="1" ht="11.25" customHeight="1">
      <c r="A77" s="1067"/>
      <c r="B77" s="1067"/>
      <c r="C77" s="1067"/>
      <c r="D77" s="1061"/>
      <c r="E77" s="1071"/>
      <c r="F77" s="4966"/>
      <c r="G77" s="4879"/>
      <c r="H77" s="4879"/>
      <c r="I77" s="4952"/>
      <c r="J77" s="4941"/>
      <c r="K77" s="4953"/>
      <c r="L77" s="4945"/>
      <c r="M77" s="4609"/>
      <c r="N77" s="4946"/>
      <c r="O77" s="4947"/>
      <c r="P77" s="4950"/>
      <c r="Q77" s="4861"/>
      <c r="R77" s="4861"/>
      <c r="S77" s="4951"/>
      <c r="T77" s="4861"/>
      <c r="U77" s="4861"/>
      <c r="V77" s="4861"/>
      <c r="W77" s="4861"/>
      <c r="X77" s="4861"/>
      <c r="Y77" s="4861"/>
      <c r="Z77" s="1077"/>
      <c r="AA77" s="1078"/>
      <c r="AB77" s="1151" t="s">
        <v>1286</v>
      </c>
      <c r="AC77" s="1082"/>
      <c r="AD77" s="1082"/>
      <c r="AE77" s="1084"/>
      <c r="AF77" s="4944"/>
      <c r="AG77" s="4945"/>
      <c r="AH77" s="4945"/>
      <c r="AI77" s="4944"/>
      <c r="AJ77" s="4945"/>
      <c r="AK77" s="4945"/>
      <c r="AL77" s="1074"/>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924" customFormat="1" ht="11.25" customHeight="1">
      <c r="A78" s="1067"/>
      <c r="B78" s="1067"/>
      <c r="C78" s="1067"/>
      <c r="D78" s="1061"/>
      <c r="E78" s="1071"/>
      <c r="F78" s="4966"/>
      <c r="G78" s="4879"/>
      <c r="H78" s="4879"/>
      <c r="I78" s="4952"/>
      <c r="J78" s="4941"/>
      <c r="K78" s="4953"/>
      <c r="L78" s="4945"/>
      <c r="M78" s="4609"/>
      <c r="N78" s="1078"/>
      <c r="O78" s="1078"/>
      <c r="P78" s="1069" t="s">
        <v>1287</v>
      </c>
      <c r="Q78" s="1078"/>
      <c r="R78" s="1078"/>
      <c r="S78" s="1078"/>
      <c r="T78" s="1078"/>
      <c r="U78" s="1078"/>
      <c r="V78" s="1078"/>
      <c r="W78" s="1078"/>
      <c r="X78" s="1078"/>
      <c r="Y78" s="1078"/>
      <c r="Z78" s="1078"/>
      <c r="AA78" s="1078"/>
      <c r="AB78" s="1078"/>
      <c r="AC78" s="1078"/>
      <c r="AD78" s="1078"/>
      <c r="AE78" s="1085"/>
      <c r="AF78" s="4944"/>
      <c r="AG78" s="4945"/>
      <c r="AH78" s="4945"/>
      <c r="AI78" s="4944"/>
      <c r="AJ78" s="4945"/>
      <c r="AK78" s="4945"/>
      <c r="AL78" s="1074"/>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924" customFormat="1" ht="12" customHeight="1">
      <c r="A79" s="1067"/>
      <c r="B79" s="1067"/>
      <c r="C79" s="1067"/>
      <c r="D79" s="1061"/>
      <c r="E79" s="1071"/>
      <c r="F79" s="4967"/>
      <c r="G79" s="1093"/>
      <c r="H79" s="1093"/>
      <c r="I79" s="4965" t="s">
        <v>1288</v>
      </c>
      <c r="J79" s="4965"/>
      <c r="K79" s="4965"/>
      <c r="L79" s="1075"/>
      <c r="M79" s="1075"/>
      <c r="N79" s="1076"/>
      <c r="O79" s="1076"/>
      <c r="P79" s="1076"/>
      <c r="Q79" s="1076"/>
      <c r="R79" s="1076"/>
      <c r="S79" s="1076"/>
      <c r="T79" s="1076"/>
      <c r="U79" s="1076"/>
      <c r="V79" s="1076"/>
      <c r="W79" s="1076"/>
      <c r="X79" s="1076"/>
      <c r="Y79" s="1076"/>
      <c r="Z79" s="1076"/>
      <c r="AA79" s="1076"/>
      <c r="AB79" s="1076"/>
      <c r="AC79" s="1076"/>
      <c r="AD79" s="1076"/>
      <c r="AE79" s="1076"/>
      <c r="AF79" s="1076"/>
      <c r="AG79" s="1075"/>
      <c r="AH79" s="1075"/>
      <c r="AI79" s="1076"/>
      <c r="AJ79" s="1075"/>
      <c r="AK79" s="1086"/>
      <c r="AL79" s="1074"/>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4551" customFormat="1" ht="11.25" customHeight="1">
      <c r="A81" s="1727" t="s">
        <v>1289</v>
      </c>
    </row>
    <row r="83" spans="1:58" s="1924" customFormat="1" ht="11.25" customHeight="1">
      <c r="A83" s="1067"/>
      <c r="B83" s="1067"/>
      <c r="C83" s="1067"/>
      <c r="D83" s="1061"/>
      <c r="E83" s="1071"/>
      <c r="F83" s="1739"/>
      <c r="G83" s="1740"/>
      <c r="H83" s="1740"/>
      <c r="I83" s="1675"/>
      <c r="J83" s="1675"/>
      <c r="K83" s="1741"/>
      <c r="L83" s="1675"/>
      <c r="M83" s="1740"/>
      <c r="N83" s="4992"/>
      <c r="O83" s="4947">
        <v>1</v>
      </c>
      <c r="P83" s="4948" t="s">
        <v>55</v>
      </c>
      <c r="Q83" s="4861" t="s">
        <v>24</v>
      </c>
      <c r="R83" s="4861" t="s">
        <v>24</v>
      </c>
      <c r="S83" s="4861" t="s">
        <v>24</v>
      </c>
      <c r="T83" s="4861" t="s">
        <v>24</v>
      </c>
      <c r="U83" s="4861" t="s">
        <v>24</v>
      </c>
      <c r="V83" s="4861" t="s">
        <v>24</v>
      </c>
      <c r="W83" s="4861" t="s">
        <v>24</v>
      </c>
      <c r="X83" s="4861" t="s">
        <v>24</v>
      </c>
      <c r="Y83" s="4861"/>
      <c r="Z83" s="1077"/>
      <c r="AA83" s="1078"/>
      <c r="AB83" s="1078"/>
      <c r="AC83" s="1082"/>
      <c r="AD83" s="1082"/>
      <c r="AE83" s="1082"/>
      <c r="AF83" s="1742"/>
      <c r="AG83" s="1670"/>
      <c r="AH83" s="1670"/>
      <c r="AI83" s="1742"/>
      <c r="AJ83" s="1670"/>
      <c r="AK83" s="1670"/>
      <c r="AL83" s="1074"/>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924" customFormat="1" ht="11.25" customHeight="1">
      <c r="A84" s="1067"/>
      <c r="B84" s="1067"/>
      <c r="C84" s="1067"/>
      <c r="D84" s="1061"/>
      <c r="E84" s="1071"/>
      <c r="F84" s="1739"/>
      <c r="G84" s="1740"/>
      <c r="H84" s="1740"/>
      <c r="I84" s="1676"/>
      <c r="J84" s="1676"/>
      <c r="K84" s="1741"/>
      <c r="L84" s="1676"/>
      <c r="M84" s="1740"/>
      <c r="N84" s="4992"/>
      <c r="O84" s="4947"/>
      <c r="P84" s="4949"/>
      <c r="Q84" s="4861"/>
      <c r="R84" s="4861"/>
      <c r="S84" s="4951"/>
      <c r="T84" s="4861"/>
      <c r="U84" s="4861"/>
      <c r="V84" s="4861"/>
      <c r="W84" s="4861"/>
      <c r="X84" s="4861"/>
      <c r="Y84" s="4861"/>
      <c r="Z84" s="1738"/>
      <c r="AA84" s="1706">
        <v>1</v>
      </c>
      <c r="AB84" s="1081"/>
      <c r="AC84" s="1070"/>
      <c r="AD84" s="1081">
        <f>AB84</f>
        <v>0</v>
      </c>
      <c r="AE84" s="644"/>
      <c r="AF84" s="1741"/>
      <c r="AG84" s="1670"/>
      <c r="AH84" s="1670"/>
      <c r="AI84" s="1741"/>
      <c r="AJ84" s="1670"/>
      <c r="AK84" s="1670"/>
      <c r="AL84" s="1074"/>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924" customFormat="1" ht="11.25" customHeight="1">
      <c r="A85" s="1067"/>
      <c r="B85" s="1067"/>
      <c r="C85" s="1067"/>
      <c r="D85" s="1061"/>
      <c r="E85" s="1071"/>
      <c r="F85" s="1739"/>
      <c r="G85" s="1740"/>
      <c r="H85" s="1740"/>
      <c r="I85" s="1677"/>
      <c r="J85" s="1677"/>
      <c r="K85" s="1741"/>
      <c r="L85" s="1677"/>
      <c r="M85" s="1740"/>
      <c r="N85" s="4992"/>
      <c r="O85" s="4947"/>
      <c r="P85" s="4950"/>
      <c r="Q85" s="4861"/>
      <c r="R85" s="4861"/>
      <c r="S85" s="4951"/>
      <c r="T85" s="4861"/>
      <c r="U85" s="4861"/>
      <c r="V85" s="4861"/>
      <c r="W85" s="4861"/>
      <c r="X85" s="4861"/>
      <c r="Y85" s="4861"/>
      <c r="Z85" s="1077"/>
      <c r="AA85" s="1078"/>
      <c r="AB85" s="1151" t="s">
        <v>1286</v>
      </c>
      <c r="AC85" s="1082"/>
      <c r="AD85" s="1082"/>
      <c r="AE85" s="1082"/>
      <c r="AF85" s="1743"/>
      <c r="AG85" s="1670"/>
      <c r="AH85" s="1670"/>
      <c r="AI85" s="1743"/>
      <c r="AJ85" s="1670"/>
      <c r="AK85" s="1670"/>
      <c r="AL85" s="1074"/>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4551" customFormat="1" ht="11.25" customHeight="1">
      <c r="A87" s="1727" t="s">
        <v>1290</v>
      </c>
    </row>
    <row r="89" spans="1:58" s="1924" customFormat="1" ht="11.25" customHeight="1">
      <c r="A89" s="1067"/>
      <c r="B89" s="1067"/>
      <c r="C89" s="1067"/>
      <c r="D89" s="1061"/>
      <c r="E89" s="1071"/>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1"/>
      <c r="AC89" s="1070"/>
      <c r="AD89" s="1081">
        <f>AB89</f>
        <v>0</v>
      </c>
      <c r="AE89" s="1070"/>
      <c r="AF89" s="1741"/>
      <c r="AG89" s="1670"/>
      <c r="AH89" s="1670"/>
      <c r="AI89" s="1741"/>
      <c r="AJ89" s="1670"/>
      <c r="AK89" s="1670"/>
      <c r="AL89" s="1074"/>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4551" customFormat="1" ht="11.25" customHeight="1">
      <c r="A91" s="1727" t="s">
        <v>1291</v>
      </c>
    </row>
    <row r="93" spans="1:58" s="1924" customFormat="1" ht="11.25" customHeight="1">
      <c r="A93" s="1067"/>
      <c r="B93" s="1067"/>
      <c r="C93" s="1067"/>
      <c r="D93" s="1061"/>
      <c r="E93" s="1071"/>
      <c r="F93" s="1739"/>
      <c r="G93" s="1740"/>
      <c r="H93" s="4879" t="s">
        <v>174</v>
      </c>
      <c r="I93" s="4952"/>
      <c r="J93" s="4941"/>
      <c r="K93" s="4953"/>
      <c r="L93" s="4945" t="s">
        <v>55</v>
      </c>
      <c r="M93" s="4609"/>
      <c r="N93" s="1080"/>
      <c r="O93" s="1079" t="s">
        <v>517</v>
      </c>
      <c r="P93" s="1080"/>
      <c r="Q93" s="1080"/>
      <c r="R93" s="1080"/>
      <c r="S93" s="1080"/>
      <c r="T93" s="1080"/>
      <c r="U93" s="1080"/>
      <c r="V93" s="1080"/>
      <c r="W93" s="1080"/>
      <c r="X93" s="1080"/>
      <c r="Y93" s="1080"/>
      <c r="Z93" s="1080"/>
      <c r="AA93" s="1080"/>
      <c r="AB93" s="1080"/>
      <c r="AC93" s="1080"/>
      <c r="AD93" s="1080"/>
      <c r="AE93" s="1080"/>
      <c r="AF93" s="4944"/>
      <c r="AG93" s="4945"/>
      <c r="AH93" s="4945"/>
      <c r="AI93" s="4944"/>
      <c r="AJ93" s="4945"/>
      <c r="AK93" s="4945"/>
      <c r="AL93" s="1074"/>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924" customFormat="1" ht="11.25" customHeight="1">
      <c r="A94" s="1067"/>
      <c r="B94" s="1067"/>
      <c r="C94" s="1067"/>
      <c r="D94" s="1061"/>
      <c r="E94" s="1071"/>
      <c r="F94" s="1739"/>
      <c r="G94" s="1740"/>
      <c r="H94" s="4879"/>
      <c r="I94" s="4952"/>
      <c r="J94" s="4941"/>
      <c r="K94" s="4953"/>
      <c r="L94" s="4945"/>
      <c r="M94" s="4609"/>
      <c r="N94" s="4946"/>
      <c r="O94" s="4947">
        <v>1</v>
      </c>
      <c r="P94" s="4948" t="s">
        <v>55</v>
      </c>
      <c r="Q94" s="4861" t="s">
        <v>24</v>
      </c>
      <c r="R94" s="4861" t="s">
        <v>24</v>
      </c>
      <c r="S94" s="4861" t="s">
        <v>24</v>
      </c>
      <c r="T94" s="4861" t="s">
        <v>24</v>
      </c>
      <c r="U94" s="4861" t="s">
        <v>24</v>
      </c>
      <c r="V94" s="4861" t="s">
        <v>24</v>
      </c>
      <c r="W94" s="4861" t="s">
        <v>24</v>
      </c>
      <c r="X94" s="4861" t="s">
        <v>24</v>
      </c>
      <c r="Y94" s="4861"/>
      <c r="Z94" s="1077"/>
      <c r="AA94" s="1078"/>
      <c r="AB94" s="1078"/>
      <c r="AC94" s="1082"/>
      <c r="AD94" s="1082"/>
      <c r="AE94" s="1083"/>
      <c r="AF94" s="4944"/>
      <c r="AG94" s="4945"/>
      <c r="AH94" s="4945"/>
      <c r="AI94" s="4944"/>
      <c r="AJ94" s="4945"/>
      <c r="AK94" s="4945"/>
      <c r="AL94" s="1074"/>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924" customFormat="1" ht="11.25" customHeight="1">
      <c r="A95" s="1067"/>
      <c r="B95" s="1067"/>
      <c r="C95" s="1067"/>
      <c r="D95" s="1061"/>
      <c r="E95" s="1071"/>
      <c r="F95" s="1739"/>
      <c r="G95" s="1740"/>
      <c r="H95" s="4879"/>
      <c r="I95" s="4952"/>
      <c r="J95" s="4941"/>
      <c r="K95" s="4953"/>
      <c r="L95" s="4945"/>
      <c r="M95" s="4609"/>
      <c r="N95" s="4946"/>
      <c r="O95" s="4947"/>
      <c r="P95" s="4949"/>
      <c r="Q95" s="4861"/>
      <c r="R95" s="4861"/>
      <c r="S95" s="4951"/>
      <c r="T95" s="4861"/>
      <c r="U95" s="4861"/>
      <c r="V95" s="4861"/>
      <c r="W95" s="4861"/>
      <c r="X95" s="4861"/>
      <c r="Y95" s="4861"/>
      <c r="Z95" s="1738"/>
      <c r="AA95" s="1706">
        <v>1</v>
      </c>
      <c r="AB95" s="1081"/>
      <c r="AC95" s="1070"/>
      <c r="AD95" s="1081">
        <f>AB95</f>
        <v>0</v>
      </c>
      <c r="AE95" s="1070"/>
      <c r="AF95" s="4944"/>
      <c r="AG95" s="4945"/>
      <c r="AH95" s="4945"/>
      <c r="AI95" s="4944"/>
      <c r="AJ95" s="4945"/>
      <c r="AK95" s="4945"/>
      <c r="AL95" s="1074"/>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924" customFormat="1" ht="11.25" customHeight="1">
      <c r="A96" s="1067"/>
      <c r="B96" s="1067"/>
      <c r="C96" s="1067"/>
      <c r="D96" s="1061"/>
      <c r="E96" s="1071"/>
      <c r="F96" s="1739"/>
      <c r="G96" s="1740"/>
      <c r="H96" s="4879"/>
      <c r="I96" s="4952"/>
      <c r="J96" s="4941"/>
      <c r="K96" s="4953"/>
      <c r="L96" s="4945"/>
      <c r="M96" s="4609"/>
      <c r="N96" s="4946"/>
      <c r="O96" s="4947"/>
      <c r="P96" s="4950"/>
      <c r="Q96" s="4861"/>
      <c r="R96" s="4861"/>
      <c r="S96" s="4951"/>
      <c r="T96" s="4861"/>
      <c r="U96" s="4861"/>
      <c r="V96" s="4861"/>
      <c r="W96" s="4861"/>
      <c r="X96" s="4861"/>
      <c r="Y96" s="4861"/>
      <c r="Z96" s="1077"/>
      <c r="AA96" s="1078"/>
      <c r="AB96" s="1151" t="s">
        <v>1286</v>
      </c>
      <c r="AC96" s="1082"/>
      <c r="AD96" s="1082"/>
      <c r="AE96" s="1084"/>
      <c r="AF96" s="4944"/>
      <c r="AG96" s="4945"/>
      <c r="AH96" s="4945"/>
      <c r="AI96" s="4944"/>
      <c r="AJ96" s="4945"/>
      <c r="AK96" s="4945"/>
      <c r="AL96" s="1074"/>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924" customFormat="1" ht="11.25" customHeight="1">
      <c r="A97" s="1067"/>
      <c r="B97" s="1067"/>
      <c r="C97" s="1067"/>
      <c r="D97" s="1061"/>
      <c r="E97" s="1071"/>
      <c r="F97" s="1739"/>
      <c r="G97" s="1740"/>
      <c r="H97" s="4879"/>
      <c r="I97" s="4952"/>
      <c r="J97" s="4941"/>
      <c r="K97" s="4953"/>
      <c r="L97" s="4945"/>
      <c r="M97" s="4609"/>
      <c r="N97" s="1078"/>
      <c r="O97" s="1078"/>
      <c r="P97" s="1069" t="s">
        <v>1287</v>
      </c>
      <c r="Q97" s="1078"/>
      <c r="R97" s="1078"/>
      <c r="S97" s="1078"/>
      <c r="T97" s="1078"/>
      <c r="U97" s="1078"/>
      <c r="V97" s="1078"/>
      <c r="W97" s="1078"/>
      <c r="X97" s="1078"/>
      <c r="Y97" s="1078"/>
      <c r="Z97" s="1078"/>
      <c r="AA97" s="1078"/>
      <c r="AB97" s="1078"/>
      <c r="AC97" s="1078"/>
      <c r="AD97" s="1078"/>
      <c r="AE97" s="1085"/>
      <c r="AF97" s="4944"/>
      <c r="AG97" s="4945"/>
      <c r="AH97" s="4945"/>
      <c r="AI97" s="4944"/>
      <c r="AJ97" s="4945"/>
      <c r="AK97" s="4945"/>
      <c r="AL97" s="1074"/>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4551" customFormat="1" ht="11.25" customHeight="1">
      <c r="A99" s="1727" t="s">
        <v>1292</v>
      </c>
    </row>
    <row r="100" spans="1:184" ht="17.25" customHeight="1"/>
    <row r="101" spans="1:184" s="4086" customFormat="1" ht="21" customHeight="1">
      <c r="A101" s="1068"/>
      <c r="B101" s="850"/>
      <c r="D101" s="837"/>
      <c r="E101" s="849" t="s">
        <v>24</v>
      </c>
      <c r="F101" s="1025" t="e">
        <f>INDEX(IP_MAIN_LIST_NAME_IP,MATCH(A101,IP_MAIN_LIST_IP_ID,0))&amp;" ("&amp;INDEX(IP_MAIN_START_DATE,MATCH(A101,IP_MAIN_LIST_IP_ID,0))&amp;"-"&amp;INDEX(IP_MAIN_END_DATE,MATCH(A101,IP_MAIN_LIST_IP_ID,0))&amp;")"</f>
        <v>#N/A</v>
      </c>
      <c r="G101" s="1106"/>
      <c r="H101" s="1107"/>
      <c r="I101" s="1107"/>
      <c r="J101" s="1107"/>
      <c r="K101" s="1107"/>
      <c r="L101" s="1107"/>
      <c r="M101" s="1107"/>
      <c r="N101" s="1107"/>
      <c r="O101" s="1106"/>
      <c r="P101" s="1106"/>
      <c r="Q101" s="1106"/>
      <c r="R101" s="1106"/>
      <c r="S101" s="1106"/>
      <c r="T101" s="1106"/>
      <c r="U101" s="1108"/>
      <c r="V101" s="1108"/>
      <c r="W101" s="1108"/>
      <c r="X101" s="1108"/>
      <c r="Y101" s="1108"/>
      <c r="Z101" s="1108"/>
      <c r="AA101" s="1108"/>
      <c r="AB101" s="1106"/>
      <c r="AC101" s="1107"/>
      <c r="AD101" s="1107"/>
      <c r="AE101" s="1107"/>
      <c r="AF101" s="1107"/>
      <c r="AG101" s="1107"/>
      <c r="AH101" s="1107"/>
      <c r="AI101" s="1107"/>
      <c r="AJ101" s="1107"/>
      <c r="AK101" s="1107"/>
      <c r="AL101" s="1107"/>
      <c r="AM101" s="1107"/>
      <c r="AN101" s="1107"/>
      <c r="AO101" s="1107"/>
      <c r="AP101" s="1107"/>
      <c r="AQ101" s="1107"/>
      <c r="AR101" s="1107"/>
      <c r="AS101" s="1107"/>
      <c r="AT101" s="1107"/>
      <c r="AU101" s="1107"/>
      <c r="AV101" s="1107"/>
      <c r="AW101" s="1107"/>
      <c r="AX101" s="1107"/>
      <c r="AY101" s="1107"/>
      <c r="AZ101" s="1107"/>
      <c r="BA101" s="1107"/>
      <c r="BB101" s="1107"/>
      <c r="BC101" s="1107"/>
      <c r="BD101" s="1107"/>
      <c r="BE101" s="1107"/>
      <c r="BF101" s="1107"/>
      <c r="BG101" s="1107"/>
      <c r="BH101" s="1107"/>
      <c r="BI101" s="1107"/>
      <c r="BJ101" s="1107"/>
      <c r="BK101" s="1107"/>
      <c r="BL101" s="1107"/>
      <c r="BM101" s="1107"/>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9"/>
      <c r="CM101" s="1109"/>
      <c r="CN101" s="1109"/>
      <c r="CO101" s="1109"/>
      <c r="CP101" s="1109"/>
      <c r="CQ101" s="1109"/>
      <c r="CR101" s="1109"/>
      <c r="CS101" s="1109"/>
      <c r="CT101" s="1109"/>
      <c r="CU101" s="1109"/>
      <c r="CV101" s="1109"/>
      <c r="CW101" s="1109"/>
      <c r="CX101" s="1109"/>
      <c r="CY101" s="1109"/>
      <c r="CZ101" s="1109"/>
      <c r="DA101" s="1109"/>
      <c r="DB101" s="1109"/>
      <c r="DC101" s="1109"/>
      <c r="DD101" s="1109"/>
      <c r="DE101" s="1109"/>
      <c r="DF101" s="1109"/>
      <c r="DG101" s="1109"/>
      <c r="DH101" s="1109"/>
      <c r="DI101" s="1109"/>
      <c r="DJ101" s="1109"/>
      <c r="DK101" s="1109"/>
      <c r="DL101" s="1109"/>
      <c r="DM101" s="1109"/>
      <c r="DN101" s="1109"/>
      <c r="DO101" s="1109"/>
      <c r="DP101" s="1109"/>
      <c r="DQ101" s="1109"/>
      <c r="DR101" s="1109"/>
      <c r="DS101" s="1109"/>
      <c r="DT101" s="1109"/>
      <c r="DU101" s="1109"/>
      <c r="DV101" s="1109"/>
      <c r="DW101" s="1109"/>
      <c r="DX101" s="1109"/>
      <c r="DY101" s="1109"/>
      <c r="DZ101" s="1109"/>
      <c r="EA101" s="1109"/>
      <c r="EB101" s="1109"/>
      <c r="EC101" s="1109"/>
      <c r="ED101" s="1109"/>
      <c r="EE101" s="1109"/>
      <c r="EF101" s="1109"/>
      <c r="EG101" s="1109"/>
      <c r="EH101" s="1109"/>
      <c r="EI101" s="1109"/>
      <c r="EJ101" s="1109"/>
      <c r="EK101" s="1109"/>
      <c r="EL101" s="1109"/>
      <c r="EM101" s="1109"/>
      <c r="EN101" s="1109"/>
      <c r="EO101" s="1109"/>
      <c r="EP101" s="1109"/>
      <c r="EQ101" s="1109"/>
      <c r="ER101" s="1109"/>
      <c r="ES101" s="1109"/>
      <c r="ET101" s="1109"/>
      <c r="EU101" s="1109"/>
      <c r="EV101" s="1109"/>
      <c r="EW101" s="1109"/>
      <c r="EX101" s="1109"/>
      <c r="EY101" s="1109"/>
      <c r="EZ101" s="1109"/>
      <c r="FA101" s="1109"/>
      <c r="FB101" s="1109"/>
      <c r="FC101" s="1109"/>
      <c r="FD101" s="1109"/>
      <c r="FE101" s="1109"/>
      <c r="FF101" s="1109"/>
      <c r="FG101" s="1109"/>
      <c r="FH101" s="1109"/>
      <c r="FI101" s="1109"/>
      <c r="FJ101" s="1109"/>
      <c r="FK101" s="1109"/>
      <c r="FL101" s="1109"/>
      <c r="FM101" s="1109"/>
      <c r="FN101" s="1109"/>
      <c r="FO101" s="1109"/>
      <c r="FP101" s="1109"/>
      <c r="FQ101" s="1109"/>
      <c r="FR101" s="1109"/>
      <c r="FS101" s="1109"/>
      <c r="FT101" s="1109"/>
      <c r="FU101" s="1109"/>
      <c r="FV101" s="1110"/>
      <c r="FW101" s="1104"/>
      <c r="FX101" s="1105"/>
    </row>
    <row r="102" spans="1:184" s="4086" customFormat="1" ht="24.75" customHeight="1">
      <c r="B102" s="836"/>
      <c r="C102" s="837"/>
      <c r="D102" s="837"/>
      <c r="E102" s="1745"/>
      <c r="F102" s="1111">
        <v>1</v>
      </c>
      <c r="G102" s="1112"/>
      <c r="H102" s="1113"/>
      <c r="I102" s="1121"/>
      <c r="J102" s="1114"/>
      <c r="K102" s="1114"/>
      <c r="L102" s="1114"/>
      <c r="M102" s="1114"/>
      <c r="N102" s="1114"/>
      <c r="O102" s="1115"/>
      <c r="P102" s="1115"/>
      <c r="Q102" s="1115"/>
      <c r="R102" s="1115"/>
      <c r="S102" s="1115"/>
      <c r="T102" s="1115"/>
      <c r="U102" s="1115"/>
      <c r="V102" s="1115"/>
      <c r="W102" s="1115"/>
      <c r="X102" s="1115"/>
      <c r="Y102" s="1115"/>
      <c r="Z102" s="1115"/>
      <c r="AA102" s="1115"/>
      <c r="AB102" s="1115"/>
      <c r="AC102" s="1114"/>
      <c r="AD102" s="1114"/>
      <c r="AE102" s="1114"/>
      <c r="AF102" s="1114"/>
      <c r="AG102" s="1114"/>
      <c r="AH102" s="1114"/>
      <c r="AI102" s="1114"/>
      <c r="AJ102" s="1114"/>
      <c r="AK102" s="1114"/>
      <c r="AL102" s="1114"/>
      <c r="AM102" s="1114"/>
      <c r="AN102" s="1114"/>
      <c r="AO102" s="1114"/>
      <c r="AP102" s="1114"/>
      <c r="AQ102" s="1114"/>
      <c r="AR102" s="1114"/>
      <c r="AS102" s="1114"/>
      <c r="AT102" s="1114"/>
      <c r="AU102" s="1114"/>
      <c r="AV102" s="1114"/>
      <c r="AW102" s="1114"/>
      <c r="AX102" s="1114"/>
      <c r="AY102" s="1114"/>
      <c r="AZ102" s="1114"/>
      <c r="BA102" s="1114"/>
      <c r="BB102" s="1114"/>
      <c r="BC102" s="1114"/>
      <c r="BD102" s="1114"/>
      <c r="BE102" s="1114"/>
      <c r="BF102" s="1114"/>
      <c r="BG102" s="1114"/>
      <c r="BH102" s="1114"/>
      <c r="BI102" s="1114"/>
      <c r="BJ102" s="1114"/>
      <c r="BK102" s="1114"/>
      <c r="BL102" s="1114"/>
      <c r="BM102" s="1114"/>
      <c r="BN102" s="1114"/>
      <c r="BO102" s="1114"/>
      <c r="BP102" s="1114"/>
      <c r="BQ102" s="1114"/>
      <c r="BR102" s="1114"/>
      <c r="BS102" s="1114"/>
      <c r="BT102" s="1116"/>
      <c r="BU102" s="1116"/>
      <c r="BV102" s="1116"/>
      <c r="BW102" s="1116"/>
      <c r="BX102" s="1116"/>
      <c r="BY102" s="1116"/>
      <c r="BZ102" s="1116"/>
      <c r="CA102" s="1116"/>
      <c r="CB102" s="1116"/>
      <c r="CC102" s="1116"/>
      <c r="CD102" s="1116"/>
      <c r="CE102" s="1116"/>
      <c r="CF102" s="1116"/>
      <c r="CG102" s="1116"/>
      <c r="CH102" s="1116"/>
      <c r="CI102" s="1116"/>
      <c r="CJ102" s="1116"/>
      <c r="CK102" s="1116"/>
      <c r="CL102" s="1114"/>
      <c r="CM102" s="1114"/>
      <c r="CN102" s="1114"/>
      <c r="CO102" s="1114"/>
      <c r="CP102" s="1114"/>
      <c r="CQ102" s="1114"/>
      <c r="CR102" s="1114"/>
      <c r="CS102" s="1114"/>
      <c r="CT102" s="1114"/>
      <c r="CU102" s="1114"/>
      <c r="CV102" s="1114"/>
      <c r="CW102" s="1114"/>
      <c r="CX102" s="1114"/>
      <c r="CY102" s="1115"/>
      <c r="CZ102" s="1115"/>
      <c r="DA102" s="1115"/>
      <c r="DB102" s="1115"/>
      <c r="DC102" s="1115"/>
      <c r="DD102" s="1115"/>
      <c r="DE102" s="1115"/>
      <c r="DF102" s="1115"/>
      <c r="DG102" s="1115"/>
      <c r="DH102" s="1115"/>
      <c r="DI102" s="1115"/>
      <c r="DJ102" s="1115"/>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05"/>
    </row>
    <row r="103" spans="1:184" s="4086" customFormat="1" ht="12" customHeight="1">
      <c r="A103" s="837"/>
      <c r="B103" s="836"/>
      <c r="C103" s="837"/>
      <c r="D103" s="837"/>
      <c r="E103" s="837"/>
      <c r="F103" s="1117"/>
      <c r="G103" s="1712" t="s">
        <v>1293</v>
      </c>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118"/>
      <c r="AK103" s="1118"/>
      <c r="AL103" s="1118"/>
      <c r="AM103" s="1118"/>
      <c r="AN103" s="1118"/>
      <c r="AO103" s="1118"/>
      <c r="AP103" s="1118"/>
      <c r="AQ103" s="1118"/>
      <c r="AR103" s="1118"/>
      <c r="AS103" s="1118"/>
      <c r="AT103" s="1118"/>
      <c r="AU103" s="1118"/>
      <c r="AV103" s="1118"/>
      <c r="AW103" s="1118"/>
      <c r="AX103" s="1118"/>
      <c r="AY103" s="1118"/>
      <c r="AZ103" s="1118"/>
      <c r="BA103" s="1118"/>
      <c r="BB103" s="1118"/>
      <c r="BC103" s="1118"/>
      <c r="BD103" s="1118"/>
      <c r="BE103" s="1118"/>
      <c r="BF103" s="1118"/>
      <c r="BG103" s="1118"/>
      <c r="BH103" s="1118"/>
      <c r="BI103" s="1118"/>
      <c r="BJ103" s="1118"/>
      <c r="BK103" s="1118"/>
      <c r="BL103" s="1118"/>
      <c r="BM103" s="1118"/>
      <c r="BN103" s="1118"/>
      <c r="BO103" s="1118"/>
      <c r="BP103" s="1118"/>
      <c r="BQ103" s="1118"/>
      <c r="BR103" s="1118"/>
      <c r="BS103" s="1118"/>
      <c r="BT103" s="1118"/>
      <c r="BU103" s="1118"/>
      <c r="BV103" s="1118"/>
      <c r="BW103" s="1118"/>
      <c r="BX103" s="1118"/>
      <c r="BY103" s="1118"/>
      <c r="BZ103" s="1118"/>
      <c r="CA103" s="1118"/>
      <c r="CB103" s="1118"/>
      <c r="CC103" s="1118"/>
      <c r="CD103" s="1118"/>
      <c r="CE103" s="1118"/>
      <c r="CF103" s="1118"/>
      <c r="CG103" s="1118"/>
      <c r="CH103" s="1118"/>
      <c r="CI103" s="1118"/>
      <c r="CJ103" s="1118"/>
      <c r="CK103" s="1118"/>
      <c r="CL103" s="1118"/>
      <c r="CM103" s="1118"/>
      <c r="CN103" s="1118"/>
      <c r="CO103" s="1118"/>
      <c r="CP103" s="1118"/>
      <c r="CQ103" s="1118"/>
      <c r="CR103" s="1118"/>
      <c r="CS103" s="1118"/>
      <c r="CT103" s="1118"/>
      <c r="CU103" s="1118"/>
      <c r="CV103" s="1118"/>
      <c r="CW103" s="1118"/>
      <c r="CX103" s="1118"/>
      <c r="CY103" s="1118"/>
      <c r="CZ103" s="1118"/>
      <c r="DA103" s="1118"/>
      <c r="DB103" s="1118"/>
      <c r="DC103" s="1118"/>
      <c r="DD103" s="1118"/>
      <c r="DE103" s="1118"/>
      <c r="DF103" s="1118"/>
      <c r="DG103" s="1118"/>
      <c r="DH103" s="1118"/>
      <c r="DI103" s="1118"/>
      <c r="DJ103" s="1118"/>
      <c r="DK103" s="1118"/>
      <c r="DL103" s="1118"/>
      <c r="DM103" s="1118"/>
      <c r="DN103" s="1118"/>
      <c r="DO103" s="1118"/>
      <c r="DP103" s="1118"/>
      <c r="DQ103" s="1118"/>
      <c r="DR103" s="1118"/>
      <c r="DS103" s="1118"/>
      <c r="DT103" s="1118"/>
      <c r="DU103" s="1118"/>
      <c r="DV103" s="1118"/>
      <c r="DW103" s="1118"/>
      <c r="DX103" s="1118"/>
      <c r="DY103" s="1118"/>
      <c r="DZ103" s="1118"/>
      <c r="EA103" s="1118"/>
      <c r="EB103" s="1118"/>
      <c r="EC103" s="1118"/>
      <c r="ED103" s="1118"/>
      <c r="EE103" s="1118"/>
      <c r="EF103" s="1118"/>
      <c r="EG103" s="1118"/>
      <c r="EH103" s="1118"/>
      <c r="EI103" s="1118"/>
      <c r="EJ103" s="1118"/>
      <c r="EK103" s="1118"/>
      <c r="EL103" s="1118"/>
      <c r="EM103" s="1118"/>
      <c r="EN103" s="1118"/>
      <c r="EO103" s="1118"/>
      <c r="EP103" s="1118"/>
      <c r="EQ103" s="1118"/>
      <c r="ER103" s="1118"/>
      <c r="ES103" s="1118"/>
      <c r="ET103" s="1118"/>
      <c r="EU103" s="1118"/>
      <c r="EV103" s="1118"/>
      <c r="EW103" s="1118"/>
      <c r="EX103" s="1118"/>
      <c r="EY103" s="1118"/>
      <c r="EZ103" s="1118"/>
      <c r="FA103" s="1118"/>
      <c r="FB103" s="1118"/>
      <c r="FC103" s="1118"/>
      <c r="FD103" s="1118"/>
      <c r="FE103" s="1118"/>
      <c r="FF103" s="1118"/>
      <c r="FG103" s="1118"/>
      <c r="FH103" s="1118"/>
      <c r="FI103" s="1118"/>
      <c r="FJ103" s="1118"/>
      <c r="FK103" s="1118"/>
      <c r="FL103" s="1118"/>
      <c r="FM103" s="1118"/>
      <c r="FN103" s="1118"/>
      <c r="FO103" s="1118"/>
      <c r="FP103" s="1118"/>
      <c r="FQ103" s="1118"/>
      <c r="FR103" s="1118"/>
      <c r="FS103" s="1118"/>
      <c r="FT103" s="1118"/>
      <c r="FU103" s="1118"/>
      <c r="FV103" s="1118"/>
      <c r="FW103" s="1119"/>
      <c r="FX103" s="1120"/>
      <c r="FY103" s="851"/>
      <c r="FZ103" s="851"/>
      <c r="GA103" s="851"/>
      <c r="GB103" s="851"/>
    </row>
    <row r="105" spans="1:184" s="4551" customFormat="1" ht="11.25" customHeight="1">
      <c r="A105" s="1727" t="s">
        <v>1294</v>
      </c>
    </row>
    <row r="107" spans="1:184" s="1832" customFormat="1" ht="15" customHeight="1">
      <c r="A107" s="545"/>
      <c r="B107" s="546"/>
      <c r="C107" s="546"/>
      <c r="D107" s="4989" t="s">
        <v>174</v>
      </c>
      <c r="E107" s="4842" t="s">
        <v>170</v>
      </c>
      <c r="F107" s="4843"/>
      <c r="G107" s="4844"/>
      <c r="H107" s="4848" t="str">
        <f>IF(A107="","",INDEX(DIFFERENTIATION_UNMERGE_VD,MATCH(A107,DIFFERENTIATION_ID_DIFF,0)))</f>
        <v/>
      </c>
      <c r="I107" s="4848"/>
      <c r="J107" s="4848"/>
      <c r="K107" s="4848"/>
      <c r="L107" s="4848"/>
      <c r="M107" s="4848"/>
      <c r="N107" s="4848"/>
      <c r="O107" s="4848"/>
      <c r="P107" s="4848"/>
      <c r="Q107" s="4848"/>
      <c r="R107" s="4848"/>
      <c r="S107" s="639"/>
      <c r="T107" s="636"/>
      <c r="U107" s="547"/>
      <c r="V107" s="547"/>
      <c r="W107" s="548"/>
      <c r="X107" s="548"/>
      <c r="Y107" s="548"/>
      <c r="Z107" s="548"/>
      <c r="AA107" s="549"/>
      <c r="AB107" s="550"/>
      <c r="AC107" s="4840"/>
      <c r="AD107" s="551"/>
      <c r="AE107" s="552" t="s">
        <v>24</v>
      </c>
      <c r="AF107" s="552"/>
      <c r="AG107" s="553" t="s">
        <v>744</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32" customFormat="1" ht="15" customHeight="1">
      <c r="A108" s="545"/>
      <c r="B108" s="546"/>
      <c r="C108" s="546"/>
      <c r="D108" s="4990"/>
      <c r="E108" s="4842" t="s">
        <v>699</v>
      </c>
      <c r="F108" s="4843"/>
      <c r="G108" s="4844"/>
      <c r="H108" s="4848" t="str">
        <f>IF(A107="","",INDEX(DIFFERENTIATION_UNMERGE_AREA,MATCH(A107,DIFFERENTIATION_ID_DIFF,0)))</f>
        <v/>
      </c>
      <c r="I108" s="4848"/>
      <c r="J108" s="4848"/>
      <c r="K108" s="4848"/>
      <c r="L108" s="4848"/>
      <c r="M108" s="4848"/>
      <c r="N108" s="4848"/>
      <c r="O108" s="4848"/>
      <c r="P108" s="4848"/>
      <c r="Q108" s="4848"/>
      <c r="R108" s="4848"/>
      <c r="S108" s="639"/>
      <c r="T108" s="636"/>
      <c r="U108" s="547"/>
      <c r="V108" s="547"/>
      <c r="W108" s="548"/>
      <c r="X108" s="548"/>
      <c r="Y108" s="548"/>
      <c r="Z108" s="548"/>
      <c r="AA108" s="549"/>
      <c r="AB108" s="550"/>
      <c r="AC108" s="4840"/>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32" customFormat="1" ht="15" customHeight="1">
      <c r="A109" s="545"/>
      <c r="B109" s="546"/>
      <c r="C109" s="546"/>
      <c r="D109" s="4990"/>
      <c r="E109" s="4842" t="s">
        <v>700</v>
      </c>
      <c r="F109" s="4843"/>
      <c r="G109" s="4844"/>
      <c r="H109" s="4848" t="str">
        <f>IF(A107="","",INDEX(DIFFERENTIATION_UNMERGE_SYSTEM,MATCH(A107,DIFFERENTIATION_ID_DIFF,0)))</f>
        <v/>
      </c>
      <c r="I109" s="4848"/>
      <c r="J109" s="4848"/>
      <c r="K109" s="4848"/>
      <c r="L109" s="4848"/>
      <c r="M109" s="4848"/>
      <c r="N109" s="4848"/>
      <c r="O109" s="4848"/>
      <c r="P109" s="4848"/>
      <c r="Q109" s="4848"/>
      <c r="R109" s="4848"/>
      <c r="S109" s="639"/>
      <c r="T109" s="636"/>
      <c r="U109" s="547"/>
      <c r="V109" s="547"/>
      <c r="W109" s="548"/>
      <c r="X109" s="548"/>
      <c r="Y109" s="548"/>
      <c r="Z109" s="548"/>
      <c r="AA109" s="549"/>
      <c r="AB109" s="550"/>
      <c r="AC109" s="4840"/>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32" customFormat="1" ht="24.75" customHeight="1">
      <c r="A110" s="1718"/>
      <c r="B110" s="1061"/>
      <c r="C110" s="347"/>
      <c r="D110" s="4990"/>
      <c r="E110" s="4841" t="s">
        <v>745</v>
      </c>
      <c r="F110" s="4841"/>
      <c r="G110" s="4841"/>
      <c r="H110" s="4841"/>
      <c r="I110" s="4841"/>
      <c r="J110" s="4841"/>
      <c r="K110" s="4841"/>
      <c r="L110" s="4841"/>
      <c r="M110" s="4841"/>
      <c r="N110" s="4841"/>
      <c r="O110" s="4841"/>
      <c r="P110" s="4841"/>
      <c r="Q110" s="484">
        <f>SUMIF(T111:T112,"i",Q111:Q112)</f>
        <v>0</v>
      </c>
      <c r="R110" s="925"/>
      <c r="S110" s="1710" t="s">
        <v>746</v>
      </c>
      <c r="T110" s="637" t="s">
        <v>747</v>
      </c>
      <c r="U110" s="4758">
        <v>1</v>
      </c>
      <c r="V110" s="4758" t="s">
        <v>710</v>
      </c>
      <c r="W110" s="1061"/>
      <c r="X110" s="1061"/>
      <c r="Y110" s="1061"/>
      <c r="Z110" s="1061"/>
      <c r="AA110" s="1549"/>
      <c r="AB110" s="1061"/>
      <c r="AC110" s="4840"/>
      <c r="AD110" s="551"/>
      <c r="AE110" s="1061"/>
      <c r="AF110" s="1061"/>
      <c r="AG110" s="1549"/>
      <c r="AH110" s="1549"/>
      <c r="AI110" s="1549"/>
      <c r="AJ110" s="1549"/>
      <c r="AK110" s="1549"/>
      <c r="AL110" s="1549"/>
      <c r="AM110" s="1549"/>
      <c r="AN110" s="1549"/>
      <c r="AO110" s="1549"/>
      <c r="AP110" s="1549"/>
      <c r="AQ110" s="1549"/>
      <c r="AR110" s="1549"/>
      <c r="AS110" s="1549"/>
      <c r="AT110" s="1549"/>
      <c r="AU110" s="1549"/>
      <c r="AV110" s="1549"/>
      <c r="AW110" s="1549"/>
      <c r="AX110" s="1549"/>
      <c r="AY110" s="1549"/>
      <c r="AZ110" s="1549"/>
      <c r="BA110" s="1549"/>
      <c r="BB110" s="1549"/>
      <c r="BC110" s="1549"/>
      <c r="BD110" s="1549"/>
      <c r="BE110" s="1549"/>
      <c r="BF110" s="1549"/>
      <c r="BG110" s="1549"/>
      <c r="BH110" s="1549"/>
      <c r="BI110" s="1549"/>
      <c r="BJ110" s="1549"/>
      <c r="BK110" s="1549"/>
      <c r="BL110" s="1549"/>
      <c r="BM110" s="1549"/>
      <c r="BN110" s="1549"/>
      <c r="BO110" s="1549"/>
      <c r="BP110" s="1549"/>
      <c r="BQ110" s="1549"/>
      <c r="BR110" s="1549"/>
      <c r="BS110" s="1549"/>
      <c r="BT110" s="1549"/>
      <c r="BU110" s="1549"/>
      <c r="BV110" s="1061"/>
      <c r="BW110" s="1061"/>
      <c r="BX110" s="1061"/>
      <c r="BY110" s="1061"/>
      <c r="BZ110" s="1061"/>
      <c r="CA110" s="1061"/>
      <c r="CB110" s="1061"/>
      <c r="CC110" s="1061"/>
      <c r="CD110" s="1061"/>
      <c r="CE110" s="1061"/>
    </row>
    <row r="111" spans="1:184" s="1832" customFormat="1" ht="11.25" hidden="1" customHeight="1">
      <c r="A111" s="1705"/>
      <c r="B111" s="1549"/>
      <c r="C111" s="1549"/>
      <c r="D111" s="4990"/>
      <c r="E111" s="557"/>
      <c r="F111" s="557">
        <v>0</v>
      </c>
      <c r="G111" s="557"/>
      <c r="H111" s="557"/>
      <c r="I111" s="557"/>
      <c r="J111" s="557"/>
      <c r="K111" s="557"/>
      <c r="L111" s="557"/>
      <c r="M111" s="557"/>
      <c r="N111" s="557"/>
      <c r="O111" s="557"/>
      <c r="P111" s="557"/>
      <c r="Q111" s="557"/>
      <c r="R111" s="557"/>
      <c r="S111" s="558"/>
      <c r="T111" s="638"/>
      <c r="U111" s="4758"/>
      <c r="V111" s="4758"/>
      <c r="W111" s="1549"/>
      <c r="X111" s="1549"/>
      <c r="Y111" s="1549"/>
      <c r="Z111" s="1549"/>
      <c r="AA111" s="1549"/>
      <c r="AB111" s="1061"/>
      <c r="AC111" s="4840"/>
      <c r="AD111" s="551"/>
      <c r="AE111" s="1061"/>
      <c r="AF111" s="1061"/>
      <c r="AG111" s="1549"/>
      <c r="AH111" s="1549"/>
      <c r="AI111" s="1549"/>
      <c r="AJ111" s="1549"/>
      <c r="AK111" s="1549"/>
      <c r="AL111" s="1549"/>
      <c r="AM111" s="1549"/>
      <c r="AN111" s="1549"/>
      <c r="AO111" s="1549"/>
      <c r="AP111" s="1549"/>
      <c r="AQ111" s="1549"/>
      <c r="AR111" s="1549"/>
      <c r="AS111" s="1549"/>
      <c r="AT111" s="1549"/>
      <c r="AU111" s="1549"/>
      <c r="AV111" s="1549"/>
      <c r="AW111" s="1549"/>
      <c r="AX111" s="1549"/>
      <c r="AY111" s="1549"/>
      <c r="AZ111" s="1549"/>
      <c r="BA111" s="1549"/>
      <c r="BB111" s="1549"/>
      <c r="BC111" s="1549"/>
      <c r="BD111" s="1549"/>
      <c r="BE111" s="1549"/>
      <c r="BF111" s="1549"/>
      <c r="BG111" s="1549"/>
      <c r="BH111" s="1549"/>
      <c r="BI111" s="1549"/>
      <c r="BJ111" s="1549"/>
      <c r="BK111" s="1549"/>
      <c r="BL111" s="1549"/>
      <c r="BM111" s="1549"/>
      <c r="BN111" s="1549"/>
      <c r="BO111" s="1549"/>
      <c r="BP111" s="1549"/>
      <c r="BQ111" s="1549"/>
      <c r="BR111" s="1549"/>
      <c r="BS111" s="1549"/>
      <c r="BT111" s="1549"/>
      <c r="BU111" s="1549"/>
      <c r="BV111" s="1549"/>
      <c r="BW111" s="1549"/>
      <c r="BX111" s="1549"/>
      <c r="BY111" s="1549"/>
      <c r="BZ111" s="1549"/>
      <c r="CA111" s="1549"/>
      <c r="CB111" s="1549"/>
      <c r="CC111" s="1549"/>
      <c r="CD111" s="1549"/>
      <c r="CE111" s="1549"/>
    </row>
    <row r="112" spans="1:184" s="1832" customFormat="1" ht="11.25" customHeight="1">
      <c r="A112" s="1718"/>
      <c r="B112" s="1061"/>
      <c r="C112" s="347"/>
      <c r="D112" s="4990"/>
      <c r="E112" s="571" t="s">
        <v>24</v>
      </c>
      <c r="F112" s="1069" t="s">
        <v>24</v>
      </c>
      <c r="G112" s="1069" t="s">
        <v>1295</v>
      </c>
      <c r="H112" s="573" t="s">
        <v>24</v>
      </c>
      <c r="I112" s="573"/>
      <c r="J112" s="573"/>
      <c r="K112" s="573"/>
      <c r="L112" s="573"/>
      <c r="M112" s="573"/>
      <c r="N112" s="573"/>
      <c r="O112" s="573"/>
      <c r="P112" s="573"/>
      <c r="Q112" s="573"/>
      <c r="R112" s="574"/>
      <c r="S112" s="575"/>
      <c r="T112" s="638"/>
      <c r="U112" s="4758"/>
      <c r="V112" s="4758"/>
      <c r="W112" s="1061"/>
      <c r="X112" s="1061"/>
      <c r="Y112" s="1061"/>
      <c r="Z112" s="1061"/>
      <c r="AA112" s="1549"/>
      <c r="AB112" s="1061"/>
      <c r="AC112" s="4840"/>
      <c r="AD112" s="551"/>
      <c r="AE112" s="1061"/>
      <c r="AF112" s="1061"/>
      <c r="AG112" s="1549"/>
      <c r="AH112" s="1549"/>
      <c r="AI112" s="1549"/>
      <c r="AJ112" s="1549"/>
      <c r="AK112" s="1549"/>
      <c r="AL112" s="1549"/>
      <c r="AM112" s="1549"/>
      <c r="AN112" s="1549"/>
      <c r="AO112" s="1549"/>
      <c r="AP112" s="1549"/>
      <c r="AQ112" s="1549"/>
      <c r="AR112" s="1549"/>
      <c r="AS112" s="1549"/>
      <c r="AT112" s="1549"/>
      <c r="AU112" s="1549"/>
      <c r="AV112" s="1549"/>
      <c r="AW112" s="1549"/>
      <c r="AX112" s="1549"/>
      <c r="AY112" s="1549"/>
      <c r="AZ112" s="1549"/>
      <c r="BA112" s="1549"/>
      <c r="BB112" s="1549"/>
      <c r="BC112" s="1549"/>
      <c r="BD112" s="1549"/>
      <c r="BE112" s="1549"/>
      <c r="BF112" s="1549"/>
      <c r="BG112" s="1549"/>
      <c r="BH112" s="1549"/>
      <c r="BI112" s="1549"/>
      <c r="BJ112" s="1549"/>
      <c r="BK112" s="1549"/>
      <c r="BL112" s="1549"/>
      <c r="BM112" s="1549"/>
      <c r="BN112" s="1549"/>
      <c r="BO112" s="1549"/>
      <c r="BP112" s="1549"/>
      <c r="BQ112" s="1549"/>
      <c r="BR112" s="1549"/>
      <c r="BS112" s="1549"/>
      <c r="BT112" s="1549"/>
      <c r="BU112" s="1549"/>
      <c r="BV112" s="1061"/>
      <c r="BW112" s="1061"/>
      <c r="BX112" s="1061"/>
      <c r="BY112" s="1061"/>
      <c r="BZ112" s="1061"/>
      <c r="CA112" s="1061"/>
      <c r="CB112" s="1061"/>
      <c r="CC112" s="1061"/>
      <c r="CD112" s="1061"/>
      <c r="CE112" s="1061"/>
    </row>
    <row r="113" spans="1:83" s="1832" customFormat="1" ht="24.75" customHeight="1">
      <c r="A113" s="1718"/>
      <c r="B113" s="1061"/>
      <c r="C113" s="347"/>
      <c r="D113" s="4990"/>
      <c r="E113" s="4841" t="s">
        <v>748</v>
      </c>
      <c r="F113" s="4841"/>
      <c r="G113" s="4841"/>
      <c r="H113" s="4841"/>
      <c r="I113" s="4841"/>
      <c r="J113" s="4841"/>
      <c r="K113" s="4841"/>
      <c r="L113" s="4841"/>
      <c r="M113" s="4841"/>
      <c r="N113" s="4841"/>
      <c r="O113" s="4841"/>
      <c r="P113" s="4841"/>
      <c r="Q113" s="484">
        <f>SUMIF(T114:T115,"i",Q114:Q115)</f>
        <v>0</v>
      </c>
      <c r="R113" s="925"/>
      <c r="S113" s="1710" t="s">
        <v>749</v>
      </c>
      <c r="T113" s="637" t="s">
        <v>747</v>
      </c>
      <c r="U113" s="4758">
        <v>1</v>
      </c>
      <c r="V113" s="4758" t="s">
        <v>710</v>
      </c>
      <c r="W113" s="1061"/>
      <c r="X113" s="1061"/>
      <c r="Y113" s="1061"/>
      <c r="Z113" s="1061"/>
      <c r="AA113" s="1549"/>
      <c r="AB113" s="1061"/>
      <c r="AC113" s="1708"/>
      <c r="AD113" s="551"/>
      <c r="AE113" s="1061"/>
      <c r="AF113" s="1061"/>
      <c r="AG113" s="1549"/>
      <c r="AH113" s="1549"/>
      <c r="AI113" s="1549"/>
      <c r="AJ113" s="1549"/>
      <c r="AK113" s="1549"/>
      <c r="AL113" s="1549"/>
      <c r="AM113" s="1549"/>
      <c r="AN113" s="1549"/>
      <c r="AO113" s="1549"/>
      <c r="AP113" s="1549"/>
      <c r="AQ113" s="1549"/>
      <c r="AR113" s="1549"/>
      <c r="AS113" s="1549"/>
      <c r="AT113" s="1549"/>
      <c r="AU113" s="1549"/>
      <c r="AV113" s="1549"/>
      <c r="AW113" s="1549"/>
      <c r="AX113" s="1549"/>
      <c r="AY113" s="1549"/>
      <c r="AZ113" s="1549"/>
      <c r="BA113" s="1549"/>
      <c r="BB113" s="1549"/>
      <c r="BC113" s="1549"/>
      <c r="BD113" s="1549"/>
      <c r="BE113" s="1549"/>
      <c r="BF113" s="1549"/>
      <c r="BG113" s="1549"/>
      <c r="BH113" s="1549"/>
      <c r="BI113" s="1549"/>
      <c r="BJ113" s="1549"/>
      <c r="BK113" s="1549"/>
      <c r="BL113" s="1549"/>
      <c r="BM113" s="1549"/>
      <c r="BN113" s="1549"/>
      <c r="BO113" s="1549"/>
      <c r="BP113" s="1549"/>
      <c r="BQ113" s="1549"/>
      <c r="BR113" s="1549"/>
      <c r="BS113" s="1549"/>
      <c r="BT113" s="1549"/>
      <c r="BU113" s="1549"/>
      <c r="BV113" s="1061"/>
      <c r="BW113" s="1061"/>
      <c r="BX113" s="1061"/>
      <c r="BY113" s="1061"/>
      <c r="BZ113" s="1061"/>
      <c r="CA113" s="1061"/>
      <c r="CB113" s="1061"/>
      <c r="CC113" s="1061"/>
      <c r="CD113" s="1061"/>
      <c r="CE113" s="1061"/>
    </row>
    <row r="114" spans="1:83" s="1832" customFormat="1" ht="11.25" hidden="1" customHeight="1">
      <c r="A114" s="1705"/>
      <c r="B114" s="1549"/>
      <c r="C114" s="1549"/>
      <c r="D114" s="4990"/>
      <c r="E114" s="557"/>
      <c r="F114" s="557">
        <v>0</v>
      </c>
      <c r="G114" s="557"/>
      <c r="H114" s="557"/>
      <c r="I114" s="557"/>
      <c r="J114" s="557"/>
      <c r="K114" s="557"/>
      <c r="L114" s="557"/>
      <c r="M114" s="557"/>
      <c r="N114" s="557"/>
      <c r="O114" s="557"/>
      <c r="P114" s="557"/>
      <c r="Q114" s="557"/>
      <c r="R114" s="557"/>
      <c r="S114" s="558"/>
      <c r="T114" s="638"/>
      <c r="U114" s="4758"/>
      <c r="V114" s="4758"/>
      <c r="W114" s="1549"/>
      <c r="X114" s="1549"/>
      <c r="Y114" s="1549"/>
      <c r="Z114" s="1549"/>
      <c r="AA114" s="1549"/>
      <c r="AB114" s="1061"/>
      <c r="AC114" s="1708"/>
      <c r="AD114" s="551"/>
      <c r="AE114" s="1061"/>
      <c r="AF114" s="1061"/>
      <c r="AG114" s="1549"/>
      <c r="AH114" s="1549"/>
      <c r="AI114" s="1549"/>
      <c r="AJ114" s="1549"/>
      <c r="AK114" s="1549"/>
      <c r="AL114" s="1549"/>
      <c r="AM114" s="1549"/>
      <c r="AN114" s="1549"/>
      <c r="AO114" s="1549"/>
      <c r="AP114" s="1549"/>
      <c r="AQ114" s="1549"/>
      <c r="AR114" s="1549"/>
      <c r="AS114" s="1549"/>
      <c r="AT114" s="1549"/>
      <c r="AU114" s="1549"/>
      <c r="AV114" s="1549"/>
      <c r="AW114" s="1549"/>
      <c r="AX114" s="1549"/>
      <c r="AY114" s="1549"/>
      <c r="AZ114" s="1549"/>
      <c r="BA114" s="1549"/>
      <c r="BB114" s="1549"/>
      <c r="BC114" s="1549"/>
      <c r="BD114" s="1549"/>
      <c r="BE114" s="1549"/>
      <c r="BF114" s="1549"/>
      <c r="BG114" s="1549"/>
      <c r="BH114" s="1549"/>
      <c r="BI114" s="1549"/>
      <c r="BJ114" s="1549"/>
      <c r="BK114" s="1549"/>
      <c r="BL114" s="1549"/>
      <c r="BM114" s="1549"/>
      <c r="BN114" s="1549"/>
      <c r="BO114" s="1549"/>
      <c r="BP114" s="1549"/>
      <c r="BQ114" s="1549"/>
      <c r="BR114" s="1549"/>
      <c r="BS114" s="1549"/>
      <c r="BT114" s="1549"/>
      <c r="BU114" s="1549"/>
      <c r="BV114" s="1549"/>
      <c r="BW114" s="1549"/>
      <c r="BX114" s="1549"/>
      <c r="BY114" s="1549"/>
      <c r="BZ114" s="1549"/>
      <c r="CA114" s="1549"/>
      <c r="CB114" s="1549"/>
      <c r="CC114" s="1549"/>
      <c r="CD114" s="1549"/>
      <c r="CE114" s="1549"/>
    </row>
    <row r="115" spans="1:83" s="1832" customFormat="1" ht="11.25" customHeight="1">
      <c r="A115" s="1718"/>
      <c r="B115" s="1061"/>
      <c r="C115" s="347"/>
      <c r="D115" s="4991"/>
      <c r="E115" s="571" t="s">
        <v>24</v>
      </c>
      <c r="F115" s="1069" t="s">
        <v>24</v>
      </c>
      <c r="G115" s="1069" t="s">
        <v>1295</v>
      </c>
      <c r="H115" s="573" t="s">
        <v>24</v>
      </c>
      <c r="I115" s="573"/>
      <c r="J115" s="573"/>
      <c r="K115" s="573"/>
      <c r="L115" s="573"/>
      <c r="M115" s="573"/>
      <c r="N115" s="573"/>
      <c r="O115" s="573"/>
      <c r="P115" s="573"/>
      <c r="Q115" s="573"/>
      <c r="R115" s="574"/>
      <c r="S115" s="575"/>
      <c r="T115" s="638"/>
      <c r="U115" s="4758"/>
      <c r="V115" s="4758"/>
      <c r="W115" s="1061"/>
      <c r="X115" s="1061"/>
      <c r="Y115" s="1061"/>
      <c r="Z115" s="1061"/>
      <c r="AA115" s="1549"/>
      <c r="AB115" s="1061"/>
      <c r="AC115" s="1708"/>
      <c r="AD115" s="551"/>
      <c r="AE115" s="1061"/>
      <c r="AF115" s="1061"/>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49"/>
      <c r="BB115" s="1549"/>
      <c r="BC115" s="1549"/>
      <c r="BD115" s="1549"/>
      <c r="BE115" s="1549"/>
      <c r="BF115" s="1549"/>
      <c r="BG115" s="1549"/>
      <c r="BH115" s="1549"/>
      <c r="BI115" s="1549"/>
      <c r="BJ115" s="1549"/>
      <c r="BK115" s="1549"/>
      <c r="BL115" s="1549"/>
      <c r="BM115" s="1549"/>
      <c r="BN115" s="1549"/>
      <c r="BO115" s="1549"/>
      <c r="BP115" s="1549"/>
      <c r="BQ115" s="1549"/>
      <c r="BR115" s="1549"/>
      <c r="BS115" s="1549"/>
      <c r="BT115" s="1549"/>
      <c r="BU115" s="1549"/>
      <c r="BV115" s="1061"/>
      <c r="BW115" s="1061"/>
      <c r="BX115" s="1061"/>
      <c r="BY115" s="1061"/>
      <c r="BZ115" s="1061"/>
      <c r="CA115" s="1061"/>
      <c r="CB115" s="1061"/>
      <c r="CC115" s="1061"/>
      <c r="CD115" s="1061"/>
      <c r="CE115" s="1061"/>
    </row>
    <row r="117" spans="1:83" s="4551" customFormat="1" ht="11.25" customHeight="1">
      <c r="A117" s="1727" t="s">
        <v>1296</v>
      </c>
    </row>
    <row r="119" spans="1:83" s="1832" customFormat="1" ht="15" customHeight="1">
      <c r="A119" s="545"/>
      <c r="B119" s="546"/>
      <c r="C119" s="546"/>
      <c r="D119" s="4989" t="s">
        <v>174</v>
      </c>
      <c r="E119" s="4842" t="s">
        <v>170</v>
      </c>
      <c r="F119" s="4843"/>
      <c r="G119" s="4844"/>
      <c r="H119" s="4848" t="str">
        <f>IF(A119="","",INDEX(DIFFERENTIATION_UNMERGE_VD,MATCH(A119,DIFFERENTIATION_ID_DIFF,0)))</f>
        <v/>
      </c>
      <c r="I119" s="4848"/>
      <c r="J119" s="4848"/>
      <c r="K119" s="4848"/>
      <c r="L119" s="4848"/>
      <c r="M119" s="4848"/>
      <c r="N119" s="4848"/>
      <c r="O119" s="4848"/>
      <c r="P119" s="4848"/>
      <c r="Q119" s="4848"/>
      <c r="R119" s="4848"/>
      <c r="S119" s="639"/>
      <c r="T119" s="636"/>
      <c r="U119" s="547"/>
      <c r="V119" s="547"/>
      <c r="W119" s="548"/>
      <c r="X119" s="548"/>
      <c r="Y119" s="548"/>
      <c r="Z119" s="548"/>
      <c r="AA119" s="549"/>
      <c r="AB119" s="550"/>
      <c r="AC119" s="4840"/>
      <c r="AD119" s="551"/>
      <c r="AE119" s="552" t="s">
        <v>24</v>
      </c>
      <c r="AF119" s="552"/>
      <c r="AG119" s="553" t="s">
        <v>744</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32" customFormat="1" ht="15" customHeight="1">
      <c r="A120" s="545"/>
      <c r="B120" s="546"/>
      <c r="C120" s="546"/>
      <c r="D120" s="4990"/>
      <c r="E120" s="4842" t="s">
        <v>699</v>
      </c>
      <c r="F120" s="4843"/>
      <c r="G120" s="4844"/>
      <c r="H120" s="4848" t="str">
        <f>IF(A119="","",INDEX(DIFFERENTIATION_UNMERGE_AREA,MATCH(A119,DIFFERENTIATION_ID_DIFF,0)))</f>
        <v/>
      </c>
      <c r="I120" s="4848"/>
      <c r="J120" s="4848"/>
      <c r="K120" s="4848"/>
      <c r="L120" s="4848"/>
      <c r="M120" s="4848"/>
      <c r="N120" s="4848"/>
      <c r="O120" s="4848"/>
      <c r="P120" s="4848"/>
      <c r="Q120" s="4848"/>
      <c r="R120" s="4848"/>
      <c r="S120" s="639"/>
      <c r="T120" s="636"/>
      <c r="U120" s="547"/>
      <c r="V120" s="547"/>
      <c r="W120" s="548"/>
      <c r="X120" s="548"/>
      <c r="Y120" s="548"/>
      <c r="Z120" s="548"/>
      <c r="AA120" s="549"/>
      <c r="AB120" s="550"/>
      <c r="AC120" s="4840"/>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32" customFormat="1" ht="15" customHeight="1">
      <c r="A121" s="545"/>
      <c r="B121" s="546"/>
      <c r="C121" s="546"/>
      <c r="D121" s="4990"/>
      <c r="E121" s="4842" t="s">
        <v>700</v>
      </c>
      <c r="F121" s="4843"/>
      <c r="G121" s="4844"/>
      <c r="H121" s="4848" t="str">
        <f>IF(A119="","",INDEX(DIFFERENTIATION_UNMERGE_SYSTEM,MATCH(A119,DIFFERENTIATION_ID_DIFF,0)))</f>
        <v/>
      </c>
      <c r="I121" s="4848"/>
      <c r="J121" s="4848"/>
      <c r="K121" s="4848"/>
      <c r="L121" s="4848"/>
      <c r="M121" s="4848"/>
      <c r="N121" s="4848"/>
      <c r="O121" s="4848"/>
      <c r="P121" s="4848"/>
      <c r="Q121" s="4848"/>
      <c r="R121" s="4848"/>
      <c r="S121" s="639"/>
      <c r="T121" s="636"/>
      <c r="U121" s="547"/>
      <c r="V121" s="547"/>
      <c r="W121" s="548"/>
      <c r="X121" s="548"/>
      <c r="Y121" s="548"/>
      <c r="Z121" s="548"/>
      <c r="AA121" s="549"/>
      <c r="AB121" s="550"/>
      <c r="AC121" s="4840"/>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32" customFormat="1" ht="24.75" customHeight="1">
      <c r="A122" s="1718"/>
      <c r="B122" s="1061"/>
      <c r="C122" s="347"/>
      <c r="D122" s="4990"/>
      <c r="E122" s="4841" t="s">
        <v>745</v>
      </c>
      <c r="F122" s="4841"/>
      <c r="G122" s="4841"/>
      <c r="H122" s="4841"/>
      <c r="I122" s="4841"/>
      <c r="J122" s="4841"/>
      <c r="K122" s="4841"/>
      <c r="L122" s="4841"/>
      <c r="M122" s="4841"/>
      <c r="N122" s="4841"/>
      <c r="O122" s="4841"/>
      <c r="P122" s="4841"/>
      <c r="Q122" s="484">
        <f>SUMIF(T123:T124,"i",Q123:Q124)</f>
        <v>0</v>
      </c>
      <c r="R122" s="925"/>
      <c r="S122" s="1710" t="s">
        <v>746</v>
      </c>
      <c r="T122" s="637" t="s">
        <v>747</v>
      </c>
      <c r="U122" s="4758">
        <v>1</v>
      </c>
      <c r="V122" s="4758" t="s">
        <v>710</v>
      </c>
      <c r="W122" s="1061"/>
      <c r="X122" s="1061"/>
      <c r="Y122" s="1061"/>
      <c r="Z122" s="1061"/>
      <c r="AA122" s="1549"/>
      <c r="AB122" s="1061"/>
      <c r="AC122" s="4840"/>
      <c r="AD122" s="551"/>
      <c r="AE122" s="1061"/>
      <c r="AF122" s="1061"/>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c r="BP122" s="1549"/>
      <c r="BQ122" s="1549"/>
      <c r="BR122" s="1549"/>
      <c r="BS122" s="1549"/>
      <c r="BT122" s="1549"/>
      <c r="BU122" s="1549"/>
      <c r="BV122" s="1061"/>
      <c r="BW122" s="1061"/>
      <c r="BX122" s="1061"/>
      <c r="BY122" s="1061"/>
      <c r="BZ122" s="1061"/>
      <c r="CA122" s="1061"/>
      <c r="CB122" s="1061"/>
      <c r="CC122" s="1061"/>
      <c r="CD122" s="1061"/>
      <c r="CE122" s="1061"/>
    </row>
    <row r="123" spans="1:83" s="1832" customFormat="1" ht="11.25" hidden="1" customHeight="1">
      <c r="A123" s="1705"/>
      <c r="B123" s="1549"/>
      <c r="C123" s="1549"/>
      <c r="D123" s="4990"/>
      <c r="E123" s="557"/>
      <c r="F123" s="557">
        <v>0</v>
      </c>
      <c r="G123" s="557"/>
      <c r="H123" s="557"/>
      <c r="I123" s="557"/>
      <c r="J123" s="557"/>
      <c r="K123" s="557"/>
      <c r="L123" s="557"/>
      <c r="M123" s="557"/>
      <c r="N123" s="557"/>
      <c r="O123" s="557"/>
      <c r="P123" s="557"/>
      <c r="Q123" s="557"/>
      <c r="R123" s="557"/>
      <c r="S123" s="558"/>
      <c r="T123" s="638"/>
      <c r="U123" s="4758"/>
      <c r="V123" s="4758"/>
      <c r="W123" s="1549"/>
      <c r="X123" s="1549"/>
      <c r="Y123" s="1549"/>
      <c r="Z123" s="1549"/>
      <c r="AA123" s="1549"/>
      <c r="AB123" s="1061"/>
      <c r="AC123" s="4840"/>
      <c r="AD123" s="551"/>
      <c r="AE123" s="1061"/>
      <c r="AF123" s="1061"/>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c r="BP123" s="1549"/>
      <c r="BQ123" s="1549"/>
      <c r="BR123" s="1549"/>
      <c r="BS123" s="1549"/>
      <c r="BT123" s="1549"/>
      <c r="BU123" s="1549"/>
      <c r="BV123" s="1549"/>
      <c r="BW123" s="1549"/>
      <c r="BX123" s="1549"/>
      <c r="BY123" s="1549"/>
      <c r="BZ123" s="1549"/>
      <c r="CA123" s="1549"/>
      <c r="CB123" s="1549"/>
      <c r="CC123" s="1549"/>
      <c r="CD123" s="1549"/>
      <c r="CE123" s="1549"/>
    </row>
    <row r="124" spans="1:83" s="1832" customFormat="1" ht="11.25" customHeight="1">
      <c r="A124" s="1718"/>
      <c r="B124" s="1061"/>
      <c r="C124" s="347"/>
      <c r="D124" s="4990"/>
      <c r="E124" s="571" t="s">
        <v>24</v>
      </c>
      <c r="F124" s="1069" t="s">
        <v>24</v>
      </c>
      <c r="G124" s="1069" t="s">
        <v>1295</v>
      </c>
      <c r="H124" s="573" t="s">
        <v>24</v>
      </c>
      <c r="I124" s="573"/>
      <c r="J124" s="573"/>
      <c r="K124" s="573"/>
      <c r="L124" s="573"/>
      <c r="M124" s="573"/>
      <c r="N124" s="573"/>
      <c r="O124" s="573"/>
      <c r="P124" s="573"/>
      <c r="Q124" s="573"/>
      <c r="R124" s="574"/>
      <c r="S124" s="575"/>
      <c r="T124" s="638"/>
      <c r="U124" s="4758"/>
      <c r="V124" s="4758"/>
      <c r="W124" s="1061"/>
      <c r="X124" s="1061"/>
      <c r="Y124" s="1061"/>
      <c r="Z124" s="1061"/>
      <c r="AA124" s="1549"/>
      <c r="AB124" s="1061"/>
      <c r="AC124" s="4840"/>
      <c r="AD124" s="551"/>
      <c r="AE124" s="1061"/>
      <c r="AF124" s="1061"/>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c r="BP124" s="1549"/>
      <c r="BQ124" s="1549"/>
      <c r="BR124" s="1549"/>
      <c r="BS124" s="1549"/>
      <c r="BT124" s="1549"/>
      <c r="BU124" s="1549"/>
      <c r="BV124" s="1061"/>
      <c r="BW124" s="1061"/>
      <c r="BX124" s="1061"/>
      <c r="BY124" s="1061"/>
      <c r="BZ124" s="1061"/>
      <c r="CA124" s="1061"/>
      <c r="CB124" s="1061"/>
      <c r="CC124" s="1061"/>
      <c r="CD124" s="1061"/>
      <c r="CE124" s="1061"/>
    </row>
    <row r="125" spans="1:83" s="1833" customFormat="1" ht="5.25" hidden="1" customHeight="1">
      <c r="A125" s="1705"/>
      <c r="B125" s="1549"/>
      <c r="C125" s="1549"/>
      <c r="D125" s="4990"/>
      <c r="E125" s="947"/>
      <c r="F125" s="947"/>
      <c r="G125" s="947"/>
      <c r="H125" s="947"/>
      <c r="I125" s="947"/>
      <c r="J125" s="947"/>
      <c r="K125" s="947"/>
      <c r="L125" s="947"/>
      <c r="M125" s="947"/>
      <c r="N125" s="947"/>
      <c r="O125" s="947"/>
      <c r="P125" s="947"/>
      <c r="Q125" s="948"/>
      <c r="R125" s="949"/>
      <c r="S125" s="950"/>
      <c r="T125" s="637" t="s">
        <v>747</v>
      </c>
      <c r="U125" s="4758">
        <v>1</v>
      </c>
      <c r="V125" s="4758" t="s">
        <v>710</v>
      </c>
      <c r="W125" s="1549"/>
      <c r="X125" s="1549"/>
      <c r="Y125" s="1549"/>
      <c r="Z125" s="1549"/>
      <c r="AA125" s="1549"/>
      <c r="AB125" s="1549"/>
      <c r="AC125" s="945"/>
      <c r="AD125" s="946"/>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c r="BP125" s="1549"/>
      <c r="BQ125" s="1549"/>
      <c r="BR125" s="1549"/>
      <c r="BS125" s="1549"/>
      <c r="BT125" s="1549"/>
      <c r="BU125" s="1549"/>
      <c r="BV125" s="1549"/>
      <c r="BW125" s="1549"/>
      <c r="BX125" s="1549"/>
      <c r="BY125" s="1549"/>
      <c r="BZ125" s="1549"/>
      <c r="CA125" s="1549"/>
      <c r="CB125" s="1549"/>
      <c r="CC125" s="1549"/>
      <c r="CD125" s="1549"/>
      <c r="CE125" s="1549"/>
    </row>
    <row r="126" spans="1:83" s="1833" customFormat="1" ht="5.25" hidden="1" customHeight="1">
      <c r="A126" s="1705"/>
      <c r="B126" s="1549"/>
      <c r="C126" s="1549"/>
      <c r="D126" s="4990"/>
      <c r="E126" s="557"/>
      <c r="F126" s="557"/>
      <c r="G126" s="557"/>
      <c r="H126" s="557"/>
      <c r="I126" s="557"/>
      <c r="J126" s="557"/>
      <c r="K126" s="557"/>
      <c r="L126" s="557"/>
      <c r="M126" s="557"/>
      <c r="N126" s="557"/>
      <c r="O126" s="557"/>
      <c r="P126" s="557"/>
      <c r="Q126" s="557"/>
      <c r="R126" s="557"/>
      <c r="S126" s="558"/>
      <c r="T126" s="638"/>
      <c r="U126" s="4758"/>
      <c r="V126" s="4758"/>
      <c r="W126" s="1549"/>
      <c r="X126" s="1549"/>
      <c r="Y126" s="1549"/>
      <c r="Z126" s="1549"/>
      <c r="AA126" s="1549"/>
      <c r="AB126" s="1549"/>
      <c r="AC126" s="945"/>
      <c r="AD126" s="946"/>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c r="BP126" s="1549"/>
      <c r="BQ126" s="1549"/>
      <c r="BR126" s="1549"/>
      <c r="BS126" s="1549"/>
      <c r="BT126" s="1549"/>
      <c r="BU126" s="1549"/>
      <c r="BV126" s="1549"/>
      <c r="BW126" s="1549"/>
      <c r="BX126" s="1549"/>
      <c r="BY126" s="1549"/>
      <c r="BZ126" s="1549"/>
      <c r="CA126" s="1549"/>
      <c r="CB126" s="1549"/>
      <c r="CC126" s="1549"/>
      <c r="CD126" s="1549"/>
      <c r="CE126" s="1549"/>
    </row>
    <row r="127" spans="1:83" s="1833" customFormat="1" ht="5.25" hidden="1" customHeight="1">
      <c r="A127" s="1705"/>
      <c r="B127" s="1549"/>
      <c r="C127" s="1549"/>
      <c r="D127" s="4991"/>
      <c r="E127" s="951"/>
      <c r="F127" s="952"/>
      <c r="G127" s="952"/>
      <c r="H127" s="953"/>
      <c r="I127" s="953"/>
      <c r="J127" s="953"/>
      <c r="K127" s="953"/>
      <c r="L127" s="953"/>
      <c r="M127" s="953"/>
      <c r="N127" s="953"/>
      <c r="O127" s="953"/>
      <c r="P127" s="953"/>
      <c r="Q127" s="953"/>
      <c r="R127" s="856"/>
      <c r="S127" s="954"/>
      <c r="T127" s="638"/>
      <c r="U127" s="4758"/>
      <c r="V127" s="4758"/>
      <c r="W127" s="1549"/>
      <c r="X127" s="1549"/>
      <c r="Y127" s="1549"/>
      <c r="Z127" s="1549"/>
      <c r="AA127" s="1549"/>
      <c r="AB127" s="1549"/>
      <c r="AC127" s="945"/>
      <c r="AD127" s="946"/>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c r="BP127" s="1549"/>
      <c r="BQ127" s="1549"/>
      <c r="BR127" s="1549"/>
      <c r="BS127" s="1549"/>
      <c r="BT127" s="1549"/>
      <c r="BU127" s="1549"/>
      <c r="BV127" s="1549"/>
      <c r="BW127" s="1549"/>
      <c r="BX127" s="1549"/>
      <c r="BY127" s="1549"/>
      <c r="BZ127" s="1549"/>
      <c r="CA127" s="1549"/>
      <c r="CB127" s="1549"/>
      <c r="CC127" s="1549"/>
      <c r="CD127" s="1549"/>
      <c r="CE127" s="1549"/>
    </row>
    <row r="128" spans="1:83" ht="17.25" customHeight="1">
      <c r="D128" s="1746"/>
    </row>
    <row r="129" spans="1:29" s="4551" customFormat="1" ht="11.25" customHeight="1">
      <c r="A129" s="1727" t="s">
        <v>1297</v>
      </c>
    </row>
    <row r="131" spans="1:29" s="1832" customFormat="1" ht="45" customHeight="1">
      <c r="A131" s="1718"/>
      <c r="B131" s="1061"/>
      <c r="C131" s="347"/>
      <c r="D131" s="23"/>
      <c r="E131" s="4982"/>
      <c r="F131" s="4609" t="s">
        <v>174</v>
      </c>
      <c r="G131" s="4985" t="s">
        <v>24</v>
      </c>
      <c r="H131" s="208"/>
      <c r="I131" s="559" t="s">
        <v>174</v>
      </c>
      <c r="J131" s="1719" t="s">
        <v>1298</v>
      </c>
      <c r="K131" s="560" t="s">
        <v>681</v>
      </c>
      <c r="L131" s="4732" t="s">
        <v>681</v>
      </c>
      <c r="M131" s="4655"/>
      <c r="N131" s="560" t="s">
        <v>681</v>
      </c>
      <c r="O131" s="560" t="s">
        <v>681</v>
      </c>
      <c r="P131" s="560" t="s">
        <v>681</v>
      </c>
      <c r="Q131" s="561">
        <f>SUM(Q132:Q134)</f>
        <v>0</v>
      </c>
      <c r="R131" s="561">
        <f>IF(R128=0,0,(Q128/R128)*100)</f>
        <v>0</v>
      </c>
      <c r="S131" s="4693"/>
      <c r="T131" s="637" t="s">
        <v>747</v>
      </c>
      <c r="U131" s="23"/>
      <c r="V131" s="23"/>
      <c r="AC131" s="23"/>
    </row>
    <row r="132" spans="1:29" s="1832" customFormat="1" ht="11.25" customHeight="1">
      <c r="A132" s="1718"/>
      <c r="B132" s="1061"/>
      <c r="C132" s="347"/>
      <c r="D132" s="23"/>
      <c r="E132" s="4983"/>
      <c r="F132" s="4609"/>
      <c r="G132" s="4985"/>
      <c r="H132" s="4627"/>
      <c r="I132" s="4879" t="s">
        <v>1071</v>
      </c>
      <c r="J132" s="4987"/>
      <c r="K132" s="4988"/>
      <c r="L132" s="562"/>
      <c r="M132" s="563" t="s">
        <v>174</v>
      </c>
      <c r="N132" s="1707"/>
      <c r="O132" s="564"/>
      <c r="P132" s="565"/>
      <c r="Q132" s="564"/>
      <c r="R132" s="566">
        <v>0</v>
      </c>
      <c r="S132" s="4693"/>
      <c r="T132" s="637"/>
      <c r="U132" s="23"/>
      <c r="V132" s="23"/>
      <c r="AC132" s="23"/>
    </row>
    <row r="133" spans="1:29" s="1832" customFormat="1" ht="11.25" customHeight="1">
      <c r="A133" s="1718"/>
      <c r="B133" s="1061"/>
      <c r="C133" s="347"/>
      <c r="D133" s="23"/>
      <c r="E133" s="4983"/>
      <c r="F133" s="4609"/>
      <c r="G133" s="4985"/>
      <c r="H133" s="4627"/>
      <c r="I133" s="4879"/>
      <c r="J133" s="4987"/>
      <c r="K133" s="4943"/>
      <c r="L133" s="567"/>
      <c r="M133" s="568"/>
      <c r="N133" s="569" t="s">
        <v>1299</v>
      </c>
      <c r="O133" s="569"/>
      <c r="P133" s="569"/>
      <c r="Q133" s="569"/>
      <c r="R133" s="570"/>
      <c r="S133" s="4693"/>
      <c r="T133" s="637"/>
      <c r="U133" s="23"/>
      <c r="V133" s="23"/>
      <c r="AC133" s="23"/>
    </row>
    <row r="134" spans="1:29" s="1832" customFormat="1" ht="11.25" customHeight="1">
      <c r="A134" s="1718"/>
      <c r="B134" s="1061"/>
      <c r="C134" s="347"/>
      <c r="D134" s="23"/>
      <c r="E134" s="4984"/>
      <c r="F134" s="4609"/>
      <c r="G134" s="4986"/>
      <c r="H134" s="567" t="s">
        <v>24</v>
      </c>
      <c r="I134" s="568"/>
      <c r="J134" s="569" t="s">
        <v>1300</v>
      </c>
      <c r="K134" s="569"/>
      <c r="L134" s="569"/>
      <c r="M134" s="569"/>
      <c r="N134" s="569"/>
      <c r="O134" s="569"/>
      <c r="P134" s="569"/>
      <c r="Q134" s="569"/>
      <c r="R134" s="570"/>
      <c r="S134" s="4693"/>
      <c r="T134" s="637"/>
      <c r="U134" s="23"/>
      <c r="V134" s="23"/>
      <c r="AC134" s="23"/>
    </row>
    <row r="139" spans="1:29" s="1832" customFormat="1" ht="11.25" customHeight="1">
      <c r="A139" s="1718"/>
      <c r="B139" s="1061"/>
      <c r="C139" s="347"/>
      <c r="D139" s="23"/>
      <c r="E139" s="1740"/>
      <c r="F139" s="1740"/>
      <c r="G139" s="1740"/>
      <c r="H139" s="4627"/>
      <c r="I139" s="4879" t="s">
        <v>1071</v>
      </c>
      <c r="J139" s="4987"/>
      <c r="K139" s="4988"/>
      <c r="L139" s="562"/>
      <c r="M139" s="563" t="s">
        <v>174</v>
      </c>
      <c r="N139" s="1707"/>
      <c r="O139" s="564"/>
      <c r="P139" s="565"/>
      <c r="Q139" s="564"/>
      <c r="R139" s="566">
        <v>0</v>
      </c>
      <c r="S139" s="23"/>
      <c r="T139" s="637"/>
      <c r="U139" s="23"/>
      <c r="V139" s="23"/>
      <c r="AC139" s="23"/>
    </row>
    <row r="140" spans="1:29" s="1832" customFormat="1" ht="11.25" customHeight="1">
      <c r="A140" s="1718"/>
      <c r="B140" s="1061"/>
      <c r="C140" s="347"/>
      <c r="D140" s="23"/>
      <c r="E140" s="1740"/>
      <c r="F140" s="1740"/>
      <c r="G140" s="1740"/>
      <c r="H140" s="4627"/>
      <c r="I140" s="4879"/>
      <c r="J140" s="4987"/>
      <c r="K140" s="4943"/>
      <c r="L140" s="567"/>
      <c r="M140" s="568"/>
      <c r="N140" s="569" t="s">
        <v>1299</v>
      </c>
      <c r="O140" s="569"/>
      <c r="P140" s="569"/>
      <c r="Q140" s="569"/>
      <c r="R140" s="570"/>
      <c r="S140" s="23"/>
      <c r="T140" s="637"/>
      <c r="U140" s="23"/>
      <c r="V140" s="23"/>
      <c r="AC140" s="23"/>
    </row>
    <row r="142" spans="1:29" s="1832" customFormat="1" ht="11.25" customHeight="1">
      <c r="A142" s="1718"/>
      <c r="B142" s="1061"/>
      <c r="C142" s="347"/>
      <c r="D142" s="23"/>
      <c r="E142" s="1747"/>
      <c r="F142" s="1745"/>
      <c r="G142" s="1745"/>
      <c r="H142" s="1748"/>
      <c r="I142" s="1740"/>
      <c r="J142" s="1741"/>
      <c r="K142" s="1741"/>
      <c r="L142" s="562"/>
      <c r="M142" s="563" t="s">
        <v>174</v>
      </c>
      <c r="N142" s="1707"/>
      <c r="O142" s="564"/>
      <c r="P142" s="565"/>
      <c r="Q142" s="564"/>
      <c r="R142" s="566">
        <v>0</v>
      </c>
      <c r="S142" s="23"/>
      <c r="T142" s="637"/>
      <c r="U142" s="23"/>
      <c r="V142" s="23"/>
      <c r="AC142" s="23"/>
    </row>
    <row r="144" spans="1:29" s="4551" customFormat="1" ht="17.25" customHeight="1">
      <c r="A144" s="1727" t="s">
        <v>1301</v>
      </c>
    </row>
    <row r="145" spans="1:43" ht="17.25" customHeight="1">
      <c r="G145" s="1749"/>
      <c r="H145" s="1749"/>
      <c r="I145" s="1749"/>
      <c r="M145" s="1745"/>
    </row>
    <row r="146" spans="1:43" s="4554" customFormat="1" ht="17.25" customHeight="1">
      <c r="A146" s="1750"/>
      <c r="C146" s="1752"/>
      <c r="D146" s="4682"/>
      <c r="E146" s="4643"/>
      <c r="F146" s="4645"/>
      <c r="G146" s="4675"/>
      <c r="H146" s="4682"/>
      <c r="I146" s="4682">
        <v>1</v>
      </c>
      <c r="J146" s="4681"/>
      <c r="K146" s="4684" t="s">
        <v>65</v>
      </c>
      <c r="L146" s="4609"/>
      <c r="M146" s="4609" t="s">
        <v>174</v>
      </c>
      <c r="N146" s="4686" t="str">
        <f>IF(Z146="","",INDEX(TERRITORY_MR_LIST,MATCH(Z146,TERRITORY_LIST_ID,0)))</f>
        <v/>
      </c>
      <c r="O146" s="4684" t="s">
        <v>65</v>
      </c>
      <c r="P146" s="4609"/>
      <c r="Q146" s="4609" t="s">
        <v>174</v>
      </c>
      <c r="R146" s="4943" t="s">
        <v>24</v>
      </c>
      <c r="S146" s="4608" t="s">
        <v>65</v>
      </c>
      <c r="T146" s="1723"/>
      <c r="U146" s="1723" t="s">
        <v>174</v>
      </c>
      <c r="V146" s="1753" t="s">
        <v>24</v>
      </c>
      <c r="W146" s="1713"/>
      <c r="Y146" s="1187"/>
      <c r="Z146" s="1187"/>
      <c r="AA146" s="1187"/>
      <c r="AB146" s="1187"/>
      <c r="AC146" s="1187"/>
      <c r="AD146" s="1187"/>
      <c r="AE146" s="1187"/>
      <c r="AF146" s="1187"/>
      <c r="AG146" s="1187"/>
      <c r="AH146" s="1187"/>
      <c r="AI146" s="1187"/>
      <c r="AJ146" s="1187"/>
      <c r="AK146" s="1187"/>
      <c r="AL146" s="1754"/>
      <c r="AM146" s="1754"/>
      <c r="AN146" s="1187"/>
      <c r="AO146" s="1187"/>
      <c r="AP146" s="1187"/>
      <c r="AQ146" s="1187"/>
    </row>
    <row r="147" spans="1:43" s="4554" customFormat="1" ht="17.25" customHeight="1">
      <c r="A147" s="1750"/>
      <c r="C147" s="1755"/>
      <c r="D147" s="4682"/>
      <c r="E147" s="4643"/>
      <c r="F147" s="4646"/>
      <c r="G147" s="4675"/>
      <c r="H147" s="4682"/>
      <c r="I147" s="4682"/>
      <c r="J147" s="4681"/>
      <c r="K147" s="4685"/>
      <c r="L147" s="4609"/>
      <c r="M147" s="4609"/>
      <c r="N147" s="4686"/>
      <c r="O147" s="4685"/>
      <c r="P147" s="4609"/>
      <c r="Q147" s="4609"/>
      <c r="R147" s="4943"/>
      <c r="S147" s="4608"/>
      <c r="T147" s="241"/>
      <c r="U147" s="242"/>
      <c r="V147" s="242" t="s">
        <v>555</v>
      </c>
      <c r="W147" s="243"/>
      <c r="Y147" s="1180"/>
      <c r="Z147" s="1180"/>
      <c r="AA147" s="1180"/>
      <c r="AB147" s="1180"/>
      <c r="AC147" s="1180"/>
      <c r="AD147" s="1180"/>
      <c r="AE147" s="1180"/>
      <c r="AF147" s="1180"/>
      <c r="AG147" s="1180"/>
      <c r="AH147" s="1180"/>
      <c r="AI147" s="1180"/>
      <c r="AJ147" s="1180"/>
      <c r="AK147" s="1180"/>
    </row>
    <row r="148" spans="1:43" s="4554" customFormat="1" ht="17.25" customHeight="1">
      <c r="A148" s="1750"/>
      <c r="C148" s="1755"/>
      <c r="D148" s="4642"/>
      <c r="E148" s="4644"/>
      <c r="F148" s="4646"/>
      <c r="G148" s="4677"/>
      <c r="H148" s="4642"/>
      <c r="I148" s="4642"/>
      <c r="J148" s="4683"/>
      <c r="K148" s="4685"/>
      <c r="L148" s="4642"/>
      <c r="M148" s="4642"/>
      <c r="N148" s="4687"/>
      <c r="O148" s="4613"/>
      <c r="P148" s="241"/>
      <c r="Q148" s="242"/>
      <c r="R148" s="242" t="s">
        <v>316</v>
      </c>
      <c r="S148" s="1756"/>
      <c r="T148" s="1756"/>
      <c r="U148" s="1756"/>
      <c r="V148" s="1756"/>
      <c r="W148" s="243"/>
      <c r="Y148" s="1180"/>
      <c r="Z148" s="1180"/>
      <c r="AA148" s="1180"/>
      <c r="AB148" s="1180"/>
      <c r="AC148" s="1180"/>
      <c r="AD148" s="1180"/>
      <c r="AE148" s="1180"/>
      <c r="AF148" s="1180"/>
      <c r="AG148" s="1180"/>
      <c r="AH148" s="1180"/>
      <c r="AI148" s="1180"/>
      <c r="AJ148" s="1180"/>
      <c r="AK148" s="1180"/>
    </row>
    <row r="149" spans="1:43" s="4554" customFormat="1" ht="17.25" customHeight="1">
      <c r="A149" s="1750"/>
      <c r="C149" s="1755"/>
      <c r="D149" s="4642"/>
      <c r="E149" s="4644"/>
      <c r="F149" s="4646"/>
      <c r="G149" s="4677"/>
      <c r="H149" s="4642"/>
      <c r="I149" s="4642"/>
      <c r="J149" s="4683"/>
      <c r="K149" s="4613"/>
      <c r="L149" s="241"/>
      <c r="M149" s="242"/>
      <c r="N149" s="242" t="s">
        <v>317</v>
      </c>
      <c r="O149" s="242"/>
      <c r="P149" s="242"/>
      <c r="Q149" s="242"/>
      <c r="R149" s="242"/>
      <c r="S149" s="1756"/>
      <c r="T149" s="1756"/>
      <c r="U149" s="1756"/>
      <c r="V149" s="1756"/>
      <c r="W149" s="243"/>
      <c r="Y149" s="1180"/>
      <c r="Z149" s="1180"/>
      <c r="AA149" s="1180"/>
      <c r="AB149" s="1180"/>
      <c r="AC149" s="1180"/>
      <c r="AD149" s="1180"/>
      <c r="AE149" s="1180"/>
      <c r="AF149" s="1180"/>
      <c r="AG149" s="1180"/>
      <c r="AH149" s="1180"/>
      <c r="AI149" s="1180"/>
      <c r="AJ149" s="1180"/>
      <c r="AK149" s="1180"/>
    </row>
    <row r="150" spans="1:43" s="4554" customFormat="1" ht="17.25" customHeight="1">
      <c r="A150" s="1750"/>
      <c r="C150" s="1755"/>
      <c r="D150" s="4642"/>
      <c r="E150" s="4644"/>
      <c r="F150" s="4647"/>
      <c r="G150" s="4677"/>
      <c r="H150" s="241"/>
      <c r="I150" s="242"/>
      <c r="J150" s="242" t="s">
        <v>407</v>
      </c>
      <c r="K150" s="242"/>
      <c r="L150" s="242"/>
      <c r="M150" s="242"/>
      <c r="N150" s="242"/>
      <c r="O150" s="242"/>
      <c r="P150" s="242"/>
      <c r="Q150" s="242"/>
      <c r="R150" s="242"/>
      <c r="S150" s="1756"/>
      <c r="T150" s="1756"/>
      <c r="U150" s="1756"/>
      <c r="V150" s="1756"/>
      <c r="W150" s="243"/>
      <c r="Y150" s="1180"/>
      <c r="Z150" s="1180"/>
      <c r="AA150" s="1180"/>
      <c r="AB150" s="1180"/>
      <c r="AC150" s="1180"/>
      <c r="AD150" s="1180"/>
      <c r="AE150" s="1180"/>
      <c r="AF150" s="1180"/>
      <c r="AG150" s="1180"/>
      <c r="AH150" s="1180"/>
      <c r="AI150" s="1180"/>
      <c r="AJ150" s="1180"/>
      <c r="AK150" s="1180"/>
    </row>
    <row r="151" spans="1:43" ht="17.25" customHeight="1">
      <c r="G151" s="1749"/>
      <c r="H151" s="1749"/>
      <c r="I151" s="1749"/>
      <c r="M151" s="1745"/>
    </row>
    <row r="152" spans="1:43" s="4554" customFormat="1" ht="17.25" customHeight="1">
      <c r="A152" s="1750"/>
      <c r="C152" s="1752"/>
      <c r="D152" s="1740"/>
      <c r="E152" s="1757"/>
      <c r="F152" s="1696"/>
      <c r="G152" s="1758"/>
      <c r="H152" s="4682"/>
      <c r="I152" s="4682">
        <v>1</v>
      </c>
      <c r="J152" s="4681"/>
      <c r="K152" s="4684" t="s">
        <v>65</v>
      </c>
      <c r="L152" s="4609"/>
      <c r="M152" s="4609" t="s">
        <v>174</v>
      </c>
      <c r="N152" s="4686" t="str">
        <f>IF(Z152="","",INDEX(TERRITORY_MR_LIST,MATCH(Z152,TERRITORY_LIST_ID,0)))</f>
        <v/>
      </c>
      <c r="O152" s="4684" t="s">
        <v>65</v>
      </c>
      <c r="P152" s="4609"/>
      <c r="Q152" s="4609" t="s">
        <v>174</v>
      </c>
      <c r="R152" s="4943" t="s">
        <v>24</v>
      </c>
      <c r="S152" s="4608" t="s">
        <v>65</v>
      </c>
      <c r="T152" s="1723"/>
      <c r="U152" s="1723" t="s">
        <v>174</v>
      </c>
      <c r="V152" s="1753" t="s">
        <v>24</v>
      </c>
      <c r="W152" s="1713"/>
      <c r="Y152" s="1187"/>
      <c r="Z152" s="1187"/>
      <c r="AA152" s="1187"/>
      <c r="AB152" s="1187"/>
      <c r="AC152" s="1187"/>
      <c r="AD152" s="1187"/>
      <c r="AE152" s="1187"/>
      <c r="AF152" s="1187"/>
      <c r="AG152" s="1187"/>
      <c r="AH152" s="1187"/>
      <c r="AI152" s="1187"/>
      <c r="AJ152" s="1187"/>
      <c r="AK152" s="1187"/>
      <c r="AL152" s="1754"/>
      <c r="AM152" s="1754"/>
      <c r="AN152" s="1187"/>
      <c r="AO152" s="1187"/>
      <c r="AP152" s="1187"/>
      <c r="AQ152" s="1187"/>
    </row>
    <row r="153" spans="1:43" s="4554" customFormat="1" ht="17.25" customHeight="1">
      <c r="A153" s="1750"/>
      <c r="C153" s="1755"/>
      <c r="D153" s="1740"/>
      <c r="E153" s="1757"/>
      <c r="F153" s="1696"/>
      <c r="G153" s="1758"/>
      <c r="H153" s="4682"/>
      <c r="I153" s="4682"/>
      <c r="J153" s="4681"/>
      <c r="K153" s="4685"/>
      <c r="L153" s="4609"/>
      <c r="M153" s="4609"/>
      <c r="N153" s="4686"/>
      <c r="O153" s="4685"/>
      <c r="P153" s="4609"/>
      <c r="Q153" s="4609"/>
      <c r="R153" s="4943"/>
      <c r="S153" s="4608"/>
      <c r="T153" s="241"/>
      <c r="U153" s="242"/>
      <c r="V153" s="242" t="s">
        <v>555</v>
      </c>
      <c r="W153" s="243"/>
      <c r="Y153" s="1180"/>
      <c r="Z153" s="1180"/>
      <c r="AA153" s="1180"/>
      <c r="AB153" s="1180"/>
      <c r="AC153" s="1180"/>
      <c r="AD153" s="1180"/>
      <c r="AE153" s="1180"/>
      <c r="AF153" s="1180"/>
      <c r="AG153" s="1180"/>
      <c r="AH153" s="1180"/>
      <c r="AI153" s="1180"/>
      <c r="AJ153" s="1180"/>
      <c r="AK153" s="1180"/>
    </row>
    <row r="154" spans="1:43" s="4554" customFormat="1" ht="17.25" customHeight="1">
      <c r="A154" s="1750"/>
      <c r="C154" s="1755"/>
      <c r="D154" s="1740"/>
      <c r="E154" s="1757"/>
      <c r="F154" s="1696"/>
      <c r="G154" s="1758"/>
      <c r="H154" s="4642"/>
      <c r="I154" s="4642"/>
      <c r="J154" s="4683"/>
      <c r="K154" s="4685"/>
      <c r="L154" s="4642"/>
      <c r="M154" s="4642"/>
      <c r="N154" s="4687"/>
      <c r="O154" s="4613"/>
      <c r="P154" s="241"/>
      <c r="Q154" s="242"/>
      <c r="R154" s="242" t="s">
        <v>316</v>
      </c>
      <c r="S154" s="1756"/>
      <c r="T154" s="1756"/>
      <c r="U154" s="1756"/>
      <c r="V154" s="1756"/>
      <c r="W154" s="243"/>
      <c r="Y154" s="1180"/>
      <c r="Z154" s="1180"/>
      <c r="AA154" s="1180"/>
      <c r="AB154" s="1180"/>
      <c r="AC154" s="1180"/>
      <c r="AD154" s="1180"/>
      <c r="AE154" s="1180"/>
      <c r="AF154" s="1180"/>
      <c r="AG154" s="1180"/>
      <c r="AH154" s="1180"/>
      <c r="AI154" s="1180"/>
      <c r="AJ154" s="1180"/>
      <c r="AK154" s="1180"/>
    </row>
    <row r="155" spans="1:43" s="4554" customFormat="1" ht="17.25" customHeight="1">
      <c r="A155" s="1750"/>
      <c r="C155" s="1755"/>
      <c r="D155" s="1740"/>
      <c r="E155" s="1757"/>
      <c r="F155" s="1696"/>
      <c r="G155" s="1758"/>
      <c r="H155" s="4642"/>
      <c r="I155" s="4642"/>
      <c r="J155" s="4683"/>
      <c r="K155" s="4613"/>
      <c r="L155" s="241"/>
      <c r="M155" s="242"/>
      <c r="N155" s="242" t="s">
        <v>317</v>
      </c>
      <c r="O155" s="242"/>
      <c r="P155" s="242"/>
      <c r="Q155" s="242"/>
      <c r="R155" s="242"/>
      <c r="S155" s="1756"/>
      <c r="T155" s="1756"/>
      <c r="U155" s="1756"/>
      <c r="V155" s="1756"/>
      <c r="W155" s="243"/>
      <c r="Y155" s="1180"/>
      <c r="Z155" s="1180"/>
      <c r="AA155" s="1180"/>
      <c r="AB155" s="1180"/>
      <c r="AC155" s="1180"/>
      <c r="AD155" s="1180"/>
      <c r="AE155" s="1180"/>
      <c r="AF155" s="1180"/>
      <c r="AG155" s="1180"/>
      <c r="AH155" s="1180"/>
      <c r="AI155" s="1180"/>
      <c r="AJ155" s="1180"/>
      <c r="AK155" s="1180"/>
    </row>
    <row r="156" spans="1:43" ht="17.25" customHeight="1">
      <c r="G156" s="1749"/>
      <c r="H156" s="1749"/>
      <c r="I156" s="1749"/>
      <c r="M156" s="1745"/>
    </row>
    <row r="157" spans="1:43" s="4554" customFormat="1" ht="17.25" customHeight="1">
      <c r="A157" s="1750"/>
      <c r="C157" s="1752"/>
      <c r="D157" s="1740"/>
      <c r="E157" s="1757"/>
      <c r="F157" s="1696"/>
      <c r="G157" s="1758"/>
      <c r="H157" s="1740"/>
      <c r="I157" s="1740"/>
      <c r="J157" s="1759"/>
      <c r="K157" s="1671"/>
      <c r="L157" s="4609"/>
      <c r="M157" s="4609" t="s">
        <v>174</v>
      </c>
      <c r="N157" s="4686" t="str">
        <f>IF(Z157="","",INDEX(TERRITORY_MR_LIST,MATCH(Z157,TERRITORY_LIST_ID,0)))</f>
        <v/>
      </c>
      <c r="O157" s="4684" t="s">
        <v>65</v>
      </c>
      <c r="P157" s="4609"/>
      <c r="Q157" s="4609" t="s">
        <v>174</v>
      </c>
      <c r="R157" s="4943" t="s">
        <v>24</v>
      </c>
      <c r="S157" s="4608" t="s">
        <v>65</v>
      </c>
      <c r="T157" s="1723"/>
      <c r="U157" s="1723" t="s">
        <v>174</v>
      </c>
      <c r="V157" s="1753" t="s">
        <v>24</v>
      </c>
      <c r="W157" s="1713"/>
      <c r="Y157" s="1187"/>
      <c r="Z157" s="1187"/>
      <c r="AA157" s="1187"/>
      <c r="AB157" s="1187"/>
      <c r="AC157" s="1187"/>
      <c r="AD157" s="1187"/>
      <c r="AE157" s="1187"/>
      <c r="AF157" s="1187"/>
      <c r="AG157" s="1187"/>
      <c r="AH157" s="1187"/>
      <c r="AI157" s="1187"/>
      <c r="AJ157" s="1187"/>
      <c r="AK157" s="1187"/>
      <c r="AL157" s="1754"/>
      <c r="AM157" s="1754"/>
      <c r="AN157" s="1187"/>
      <c r="AO157" s="1187"/>
      <c r="AP157" s="1187"/>
      <c r="AQ157" s="1187"/>
    </row>
    <row r="158" spans="1:43" s="4554" customFormat="1" ht="17.25" customHeight="1">
      <c r="A158" s="1750"/>
      <c r="C158" s="1755"/>
      <c r="D158" s="1740"/>
      <c r="E158" s="1757"/>
      <c r="F158" s="1696"/>
      <c r="G158" s="1758"/>
      <c r="H158" s="1740"/>
      <c r="I158" s="1740"/>
      <c r="J158" s="1759"/>
      <c r="K158" s="1671"/>
      <c r="L158" s="4609"/>
      <c r="M158" s="4609"/>
      <c r="N158" s="4686"/>
      <c r="O158" s="4685"/>
      <c r="P158" s="4609"/>
      <c r="Q158" s="4609"/>
      <c r="R158" s="4943"/>
      <c r="S158" s="4608"/>
      <c r="T158" s="241"/>
      <c r="U158" s="242"/>
      <c r="V158" s="242" t="s">
        <v>555</v>
      </c>
      <c r="W158" s="243"/>
      <c r="Y158" s="1180"/>
      <c r="Z158" s="1180"/>
      <c r="AA158" s="1180"/>
      <c r="AB158" s="1180"/>
      <c r="AC158" s="1180"/>
      <c r="AD158" s="1180"/>
      <c r="AE158" s="1180"/>
      <c r="AF158" s="1180"/>
      <c r="AG158" s="1180"/>
      <c r="AH158" s="1180"/>
      <c r="AI158" s="1180"/>
      <c r="AJ158" s="1180"/>
      <c r="AK158" s="1180"/>
    </row>
    <row r="159" spans="1:43" s="4554" customFormat="1" ht="17.25" customHeight="1">
      <c r="A159" s="1750"/>
      <c r="C159" s="1755"/>
      <c r="D159" s="1740"/>
      <c r="E159" s="1757"/>
      <c r="F159" s="1696"/>
      <c r="G159" s="1758"/>
      <c r="H159" s="1740"/>
      <c r="I159" s="1740"/>
      <c r="J159" s="1759"/>
      <c r="K159" s="1671"/>
      <c r="L159" s="4642"/>
      <c r="M159" s="4642"/>
      <c r="N159" s="4687"/>
      <c r="O159" s="4613"/>
      <c r="P159" s="241"/>
      <c r="Q159" s="242"/>
      <c r="R159" s="242" t="s">
        <v>316</v>
      </c>
      <c r="S159" s="1756"/>
      <c r="T159" s="1756"/>
      <c r="U159" s="1756"/>
      <c r="V159" s="1756"/>
      <c r="W159" s="243"/>
      <c r="Y159" s="1180"/>
      <c r="Z159" s="1180"/>
      <c r="AA159" s="1180"/>
      <c r="AB159" s="1180"/>
      <c r="AC159" s="1180"/>
      <c r="AD159" s="1180"/>
      <c r="AE159" s="1180"/>
      <c r="AF159" s="1180"/>
      <c r="AG159" s="1180"/>
      <c r="AH159" s="1180"/>
      <c r="AI159" s="1180"/>
      <c r="AJ159" s="1180"/>
      <c r="AK159" s="1180"/>
    </row>
    <row r="160" spans="1:43" ht="17.25" customHeight="1">
      <c r="G160" s="1749"/>
      <c r="H160" s="1749"/>
      <c r="I160" s="1749"/>
      <c r="M160" s="1745"/>
    </row>
    <row r="161" spans="1:43" s="4554" customFormat="1" ht="17.25" customHeight="1">
      <c r="A161" s="1750"/>
      <c r="C161" s="1752"/>
      <c r="D161" s="1740"/>
      <c r="E161" s="1757"/>
      <c r="F161" s="1696"/>
      <c r="G161" s="1758"/>
      <c r="H161" s="1740"/>
      <c r="I161" s="1740"/>
      <c r="J161" s="1759"/>
      <c r="K161" s="1671"/>
      <c r="L161" s="1667"/>
      <c r="M161" s="1667"/>
      <c r="N161" s="1760"/>
      <c r="O161" s="1699"/>
      <c r="P161" s="4609"/>
      <c r="Q161" s="4609" t="s">
        <v>174</v>
      </c>
      <c r="R161" s="4943" t="s">
        <v>24</v>
      </c>
      <c r="S161" s="4608" t="s">
        <v>65</v>
      </c>
      <c r="T161" s="1723"/>
      <c r="U161" s="1723" t="s">
        <v>174</v>
      </c>
      <c r="V161" s="1753" t="s">
        <v>24</v>
      </c>
      <c r="W161" s="1713"/>
      <c r="Y161" s="1187"/>
      <c r="Z161" s="1187"/>
      <c r="AA161" s="1187"/>
      <c r="AB161" s="1187"/>
      <c r="AC161" s="1187"/>
      <c r="AD161" s="1187"/>
      <c r="AE161" s="1187"/>
      <c r="AF161" s="1187"/>
      <c r="AG161" s="1187"/>
      <c r="AH161" s="1187"/>
      <c r="AI161" s="1187"/>
      <c r="AJ161" s="1187"/>
      <c r="AK161" s="1187"/>
      <c r="AL161" s="1754"/>
      <c r="AM161" s="1754"/>
      <c r="AN161" s="1187"/>
      <c r="AO161" s="1187"/>
      <c r="AP161" s="1187"/>
      <c r="AQ161" s="1187"/>
    </row>
    <row r="162" spans="1:43" s="4554" customFormat="1" ht="17.25" customHeight="1">
      <c r="A162" s="1750"/>
      <c r="C162" s="1755"/>
      <c r="D162" s="1740"/>
      <c r="E162" s="1757"/>
      <c r="F162" s="1696"/>
      <c r="G162" s="1758"/>
      <c r="H162" s="1740"/>
      <c r="I162" s="1740"/>
      <c r="J162" s="1759"/>
      <c r="K162" s="1671"/>
      <c r="L162" s="1667"/>
      <c r="M162" s="1667"/>
      <c r="N162" s="1760"/>
      <c r="O162" s="1699"/>
      <c r="P162" s="4609"/>
      <c r="Q162" s="4609"/>
      <c r="R162" s="4943"/>
      <c r="S162" s="4608"/>
      <c r="T162" s="241"/>
      <c r="U162" s="242"/>
      <c r="V162" s="242" t="s">
        <v>555</v>
      </c>
      <c r="W162" s="243"/>
      <c r="Y162" s="1180"/>
      <c r="Z162" s="1180"/>
      <c r="AA162" s="1180"/>
      <c r="AB162" s="1180"/>
      <c r="AC162" s="1180"/>
      <c r="AD162" s="1180"/>
      <c r="AE162" s="1180"/>
      <c r="AF162" s="1180"/>
      <c r="AG162" s="1180"/>
      <c r="AH162" s="1180"/>
      <c r="AI162" s="1180"/>
      <c r="AJ162" s="1180"/>
      <c r="AK162" s="1180"/>
    </row>
    <row r="163" spans="1:43" ht="17.25" customHeight="1">
      <c r="G163" s="1749"/>
      <c r="H163" s="1749"/>
      <c r="I163" s="1749"/>
      <c r="M163" s="1745"/>
    </row>
    <row r="164" spans="1:43" s="4554" customFormat="1" ht="17.25" customHeight="1">
      <c r="A164" s="1750"/>
      <c r="C164" s="1752"/>
      <c r="D164" s="1740"/>
      <c r="E164" s="1757"/>
      <c r="F164" s="1696"/>
      <c r="G164" s="1758"/>
      <c r="H164" s="1667"/>
      <c r="I164" s="1667"/>
      <c r="J164" s="1668"/>
      <c r="K164" s="1758"/>
      <c r="L164" s="1667"/>
      <c r="M164" s="1667"/>
      <c r="N164" s="1758"/>
      <c r="O164" s="1758"/>
      <c r="P164" s="1667"/>
      <c r="Q164" s="1667"/>
      <c r="R164" s="1669"/>
      <c r="S164" s="1758"/>
      <c r="T164" s="1723"/>
      <c r="U164" s="1723" t="s">
        <v>174</v>
      </c>
      <c r="V164" s="1753" t="s">
        <v>24</v>
      </c>
      <c r="W164" s="1713"/>
      <c r="Y164" s="1187"/>
      <c r="Z164" s="1187"/>
      <c r="AA164" s="1187"/>
      <c r="AB164" s="1187"/>
      <c r="AC164" s="1187"/>
      <c r="AD164" s="1187"/>
      <c r="AE164" s="1187"/>
      <c r="AF164" s="1187"/>
      <c r="AG164" s="1187"/>
      <c r="AH164" s="1187"/>
      <c r="AI164" s="1187"/>
      <c r="AJ164" s="1187"/>
      <c r="AK164" s="1187"/>
      <c r="AL164" s="1754"/>
      <c r="AM164" s="1754"/>
      <c r="AN164" s="1187"/>
      <c r="AO164" s="1187"/>
      <c r="AP164" s="1187"/>
      <c r="AQ164" s="1187"/>
    </row>
    <row r="166" spans="1:43" s="4551" customFormat="1" ht="17.25" customHeight="1">
      <c r="A166" s="1727" t="s">
        <v>1302</v>
      </c>
    </row>
    <row r="167" spans="1:43" ht="17.25" customHeight="1">
      <c r="G167" s="1749"/>
      <c r="H167" s="1749"/>
      <c r="I167" s="1749"/>
      <c r="M167" s="1745"/>
    </row>
    <row r="168" spans="1:43" s="4554" customFormat="1" ht="17.25" customHeight="1">
      <c r="A168" s="1750"/>
      <c r="C168" s="1752"/>
      <c r="D168" s="4682"/>
      <c r="E168" s="4643"/>
      <c r="F168" s="4645"/>
      <c r="G168" s="4675"/>
      <c r="H168" s="4682"/>
      <c r="I168" s="4682">
        <v>1</v>
      </c>
      <c r="J168" s="4681"/>
      <c r="K168" s="4684" t="s">
        <v>65</v>
      </c>
      <c r="L168" s="4609"/>
      <c r="M168" s="4609" t="s">
        <v>174</v>
      </c>
      <c r="N168" s="4686" t="str">
        <f>IF(Z168="","",INDEX(TERRITORY_MR_LIST,MATCH(Z168,TERRITORY_LIST_ID,0)))</f>
        <v/>
      </c>
      <c r="O168" s="4684" t="s">
        <v>65</v>
      </c>
      <c r="P168" s="4609"/>
      <c r="Q168" s="4609" t="s">
        <v>174</v>
      </c>
      <c r="R168" s="4943" t="s">
        <v>24</v>
      </c>
      <c r="S168" s="4680" t="s">
        <v>55</v>
      </c>
      <c r="T168" s="1714"/>
      <c r="U168" s="1714" t="s">
        <v>174</v>
      </c>
      <c r="V168" s="1350"/>
      <c r="W168" s="4681"/>
      <c r="Y168" s="1187"/>
      <c r="Z168" s="1187"/>
      <c r="AA168" s="1187"/>
      <c r="AB168" s="1187"/>
      <c r="AC168" s="1187"/>
      <c r="AD168" s="1187"/>
      <c r="AE168" s="1187"/>
      <c r="AF168" s="1187"/>
      <c r="AG168" s="1187"/>
      <c r="AH168" s="1187"/>
      <c r="AI168" s="1187"/>
      <c r="AJ168" s="1187"/>
      <c r="AK168" s="1187"/>
      <c r="AL168" s="1754"/>
      <c r="AM168" s="1754"/>
      <c r="AN168" s="1187"/>
      <c r="AO168" s="1187"/>
      <c r="AP168" s="1187"/>
      <c r="AQ168" s="1187"/>
    </row>
    <row r="169" spans="1:43" s="4554" customFormat="1" ht="17.25" customHeight="1">
      <c r="A169" s="1750"/>
      <c r="C169" s="1755"/>
      <c r="D169" s="4682"/>
      <c r="E169" s="4643"/>
      <c r="F169" s="4646"/>
      <c r="G169" s="4675"/>
      <c r="H169" s="4682"/>
      <c r="I169" s="4682"/>
      <c r="J169" s="4681"/>
      <c r="K169" s="4685"/>
      <c r="L169" s="4609"/>
      <c r="M169" s="4609"/>
      <c r="N169" s="4686"/>
      <c r="O169" s="4685"/>
      <c r="P169" s="4609"/>
      <c r="Q169" s="4609"/>
      <c r="R169" s="4943"/>
      <c r="S169" s="4680"/>
      <c r="T169" s="1351"/>
      <c r="U169" s="1352"/>
      <c r="V169" s="1352"/>
      <c r="W169" s="4681"/>
      <c r="Y169" s="1180"/>
      <c r="Z169" s="1180"/>
      <c r="AA169" s="1180"/>
      <c r="AB169" s="1180"/>
      <c r="AC169" s="1180"/>
      <c r="AD169" s="1180"/>
      <c r="AE169" s="1180"/>
      <c r="AF169" s="1180"/>
      <c r="AG169" s="1180"/>
      <c r="AH169" s="1180"/>
      <c r="AI169" s="1180"/>
      <c r="AJ169" s="1180"/>
      <c r="AK169" s="1180"/>
    </row>
    <row r="170" spans="1:43" s="4554" customFormat="1" ht="17.25" customHeight="1">
      <c r="A170" s="1750"/>
      <c r="C170" s="1755"/>
      <c r="D170" s="4642"/>
      <c r="E170" s="4644"/>
      <c r="F170" s="4646"/>
      <c r="G170" s="4677"/>
      <c r="H170" s="4642"/>
      <c r="I170" s="4642"/>
      <c r="J170" s="4683"/>
      <c r="K170" s="4685"/>
      <c r="L170" s="4642"/>
      <c r="M170" s="4642"/>
      <c r="N170" s="4687"/>
      <c r="O170" s="4613"/>
      <c r="P170" s="241"/>
      <c r="Q170" s="242"/>
      <c r="R170" s="242" t="s">
        <v>316</v>
      </c>
      <c r="S170" s="1756"/>
      <c r="T170" s="1756"/>
      <c r="U170" s="1756"/>
      <c r="V170" s="1756"/>
      <c r="W170" s="1349"/>
      <c r="Y170" s="1180"/>
      <c r="Z170" s="1180"/>
      <c r="AA170" s="1180"/>
      <c r="AB170" s="1180"/>
      <c r="AC170" s="1180"/>
      <c r="AD170" s="1180"/>
      <c r="AE170" s="1180"/>
      <c r="AF170" s="1180"/>
      <c r="AG170" s="1180"/>
      <c r="AH170" s="1180"/>
      <c r="AI170" s="1180"/>
      <c r="AJ170" s="1180"/>
      <c r="AK170" s="1180"/>
    </row>
    <row r="171" spans="1:43" s="4554" customFormat="1" ht="17.25" customHeight="1">
      <c r="A171" s="1750"/>
      <c r="C171" s="1755"/>
      <c r="D171" s="4642"/>
      <c r="E171" s="4644"/>
      <c r="F171" s="4646"/>
      <c r="G171" s="4677"/>
      <c r="H171" s="4642"/>
      <c r="I171" s="4642"/>
      <c r="J171" s="4683"/>
      <c r="K171" s="4613"/>
      <c r="L171" s="241"/>
      <c r="M171" s="242"/>
      <c r="N171" s="242" t="s">
        <v>317</v>
      </c>
      <c r="O171" s="242"/>
      <c r="P171" s="242"/>
      <c r="Q171" s="242"/>
      <c r="R171" s="242"/>
      <c r="S171" s="1756"/>
      <c r="T171" s="1756"/>
      <c r="U171" s="1756"/>
      <c r="V171" s="1756"/>
      <c r="W171" s="243"/>
      <c r="Y171" s="1180"/>
      <c r="Z171" s="1180"/>
      <c r="AA171" s="1180"/>
      <c r="AB171" s="1180"/>
      <c r="AC171" s="1180"/>
      <c r="AD171" s="1180"/>
      <c r="AE171" s="1180"/>
      <c r="AF171" s="1180"/>
      <c r="AG171" s="1180"/>
      <c r="AH171" s="1180"/>
      <c r="AI171" s="1180"/>
      <c r="AJ171" s="1180"/>
      <c r="AK171" s="1180"/>
    </row>
    <row r="172" spans="1:43" s="4554" customFormat="1" ht="17.25" customHeight="1">
      <c r="A172" s="1750"/>
      <c r="C172" s="1755"/>
      <c r="D172" s="4642"/>
      <c r="E172" s="4644"/>
      <c r="F172" s="4647"/>
      <c r="G172" s="4677"/>
      <c r="H172" s="241"/>
      <c r="I172" s="242"/>
      <c r="J172" s="242" t="s">
        <v>407</v>
      </c>
      <c r="K172" s="242"/>
      <c r="L172" s="242"/>
      <c r="M172" s="242"/>
      <c r="N172" s="242"/>
      <c r="O172" s="242"/>
      <c r="P172" s="242"/>
      <c r="Q172" s="242"/>
      <c r="R172" s="242"/>
      <c r="S172" s="1756"/>
      <c r="T172" s="1756"/>
      <c r="U172" s="1756"/>
      <c r="V172" s="1756"/>
      <c r="W172" s="243"/>
      <c r="Y172" s="1180"/>
      <c r="Z172" s="1180"/>
      <c r="AA172" s="1180"/>
      <c r="AB172" s="1180"/>
      <c r="AC172" s="1180"/>
      <c r="AD172" s="1180"/>
      <c r="AE172" s="1180"/>
      <c r="AF172" s="1180"/>
      <c r="AG172" s="1180"/>
      <c r="AH172" s="1180"/>
      <c r="AI172" s="1180"/>
      <c r="AJ172" s="1180"/>
      <c r="AK172" s="1180"/>
    </row>
    <row r="173" spans="1:43" ht="17.25" customHeight="1">
      <c r="A173" s="1761"/>
    </row>
    <row r="174" spans="1:43" s="4554" customFormat="1" ht="17.25" customHeight="1">
      <c r="A174" s="1750"/>
      <c r="C174" s="1752"/>
      <c r="D174" s="1740"/>
      <c r="E174" s="1757"/>
      <c r="F174" s="1696"/>
      <c r="G174" s="1758"/>
      <c r="H174" s="4682"/>
      <c r="I174" s="4682">
        <v>1</v>
      </c>
      <c r="J174" s="4681"/>
      <c r="K174" s="4684" t="s">
        <v>65</v>
      </c>
      <c r="L174" s="4609"/>
      <c r="M174" s="4609" t="s">
        <v>174</v>
      </c>
      <c r="N174" s="4686" t="str">
        <f>IF(Z174="","",INDEX(TERRITORY_MR_LIST,MATCH(Z174,TERRITORY_LIST_ID,0)))</f>
        <v/>
      </c>
      <c r="O174" s="4684" t="s">
        <v>65</v>
      </c>
      <c r="P174" s="4609"/>
      <c r="Q174" s="4609" t="s">
        <v>174</v>
      </c>
      <c r="R174" s="4943" t="s">
        <v>24</v>
      </c>
      <c r="S174" s="4680" t="s">
        <v>55</v>
      </c>
      <c r="T174" s="1714"/>
      <c r="U174" s="1714" t="s">
        <v>174</v>
      </c>
      <c r="V174" s="1350"/>
      <c r="W174" s="4681"/>
      <c r="Y174" s="1187"/>
      <c r="Z174" s="1187"/>
      <c r="AA174" s="1187"/>
      <c r="AB174" s="1187"/>
      <c r="AC174" s="1187"/>
      <c r="AD174" s="1187"/>
      <c r="AE174" s="1187"/>
      <c r="AF174" s="1187"/>
      <c r="AG174" s="1187"/>
      <c r="AH174" s="1187"/>
      <c r="AI174" s="1187"/>
      <c r="AJ174" s="1187"/>
      <c r="AK174" s="1187"/>
      <c r="AL174" s="1754"/>
      <c r="AM174" s="1754"/>
      <c r="AN174" s="1187"/>
      <c r="AO174" s="1187"/>
      <c r="AP174" s="1187"/>
      <c r="AQ174" s="1187"/>
    </row>
    <row r="175" spans="1:43" s="4554" customFormat="1" ht="17.25" customHeight="1">
      <c r="A175" s="1750"/>
      <c r="C175" s="1755"/>
      <c r="D175" s="1740"/>
      <c r="E175" s="1757"/>
      <c r="F175" s="1696"/>
      <c r="G175" s="1758"/>
      <c r="H175" s="4682"/>
      <c r="I175" s="4682"/>
      <c r="J175" s="4681"/>
      <c r="K175" s="4685"/>
      <c r="L175" s="4609"/>
      <c r="M175" s="4609"/>
      <c r="N175" s="4686"/>
      <c r="O175" s="4685"/>
      <c r="P175" s="4609"/>
      <c r="Q175" s="4609"/>
      <c r="R175" s="4943"/>
      <c r="S175" s="4680"/>
      <c r="T175" s="1351"/>
      <c r="U175" s="1352"/>
      <c r="V175" s="1352"/>
      <c r="W175" s="4681"/>
      <c r="Y175" s="1180"/>
      <c r="Z175" s="1180"/>
      <c r="AA175" s="1180"/>
      <c r="AB175" s="1180"/>
      <c r="AC175" s="1180"/>
      <c r="AD175" s="1180"/>
      <c r="AE175" s="1180"/>
      <c r="AF175" s="1180"/>
      <c r="AG175" s="1180"/>
      <c r="AH175" s="1180"/>
      <c r="AI175" s="1180"/>
      <c r="AJ175" s="1180"/>
      <c r="AK175" s="1180"/>
    </row>
    <row r="176" spans="1:43" s="4554" customFormat="1" ht="17.25" customHeight="1">
      <c r="A176" s="1750"/>
      <c r="C176" s="1755"/>
      <c r="D176" s="1740"/>
      <c r="E176" s="1757"/>
      <c r="F176" s="1696"/>
      <c r="G176" s="1758"/>
      <c r="H176" s="4642"/>
      <c r="I176" s="4642"/>
      <c r="J176" s="4683"/>
      <c r="K176" s="4685"/>
      <c r="L176" s="4642"/>
      <c r="M176" s="4642"/>
      <c r="N176" s="4687"/>
      <c r="O176" s="4613"/>
      <c r="P176" s="241"/>
      <c r="Q176" s="242"/>
      <c r="R176" s="242" t="s">
        <v>316</v>
      </c>
      <c r="S176" s="1756"/>
      <c r="T176" s="1756"/>
      <c r="U176" s="1756"/>
      <c r="V176" s="1756"/>
      <c r="W176" s="1349"/>
      <c r="Y176" s="1180"/>
      <c r="Z176" s="1180"/>
      <c r="AA176" s="1180"/>
      <c r="AB176" s="1180"/>
      <c r="AC176" s="1180"/>
      <c r="AD176" s="1180"/>
      <c r="AE176" s="1180"/>
      <c r="AF176" s="1180"/>
      <c r="AG176" s="1180"/>
      <c r="AH176" s="1180"/>
      <c r="AI176" s="1180"/>
      <c r="AJ176" s="1180"/>
      <c r="AK176" s="1180"/>
    </row>
    <row r="177" spans="1:43" s="4554" customFormat="1" ht="17.25" customHeight="1">
      <c r="A177" s="1750"/>
      <c r="C177" s="1755"/>
      <c r="D177" s="1740"/>
      <c r="E177" s="1757"/>
      <c r="F177" s="1696"/>
      <c r="G177" s="1758"/>
      <c r="H177" s="4642"/>
      <c r="I177" s="4642"/>
      <c r="J177" s="4683"/>
      <c r="K177" s="4613"/>
      <c r="L177" s="241"/>
      <c r="M177" s="242"/>
      <c r="N177" s="242" t="s">
        <v>317</v>
      </c>
      <c r="O177" s="242"/>
      <c r="P177" s="242"/>
      <c r="Q177" s="242"/>
      <c r="R177" s="242"/>
      <c r="S177" s="1756"/>
      <c r="T177" s="1756"/>
      <c r="U177" s="1756"/>
      <c r="V177" s="1756"/>
      <c r="W177" s="243"/>
      <c r="Y177" s="1180"/>
      <c r="Z177" s="1180"/>
      <c r="AA177" s="1180"/>
      <c r="AB177" s="1180"/>
      <c r="AC177" s="1180"/>
      <c r="AD177" s="1180"/>
      <c r="AE177" s="1180"/>
      <c r="AF177" s="1180"/>
      <c r="AG177" s="1180"/>
      <c r="AH177" s="1180"/>
      <c r="AI177" s="1180"/>
      <c r="AJ177" s="1180"/>
      <c r="AK177" s="1180"/>
    </row>
    <row r="178" spans="1:43" ht="17.25" customHeight="1">
      <c r="A178" s="1761"/>
    </row>
    <row r="179" spans="1:43" s="4554" customFormat="1" ht="17.25" customHeight="1">
      <c r="A179" s="1750"/>
      <c r="C179" s="1752"/>
      <c r="D179" s="1740"/>
      <c r="E179" s="1757"/>
      <c r="F179" s="1696"/>
      <c r="G179" s="1758"/>
      <c r="H179" s="1740"/>
      <c r="I179" s="1740"/>
      <c r="J179" s="1762"/>
      <c r="K179" s="1758"/>
      <c r="L179" s="4609"/>
      <c r="M179" s="4609" t="s">
        <v>174</v>
      </c>
      <c r="N179" s="4686" t="str">
        <f>IF(Z179="","",INDEX(TERRITORY_MR_LIST,MATCH(Z179,TERRITORY_LIST_ID,0)))</f>
        <v/>
      </c>
      <c r="O179" s="4684" t="s">
        <v>65</v>
      </c>
      <c r="P179" s="4609"/>
      <c r="Q179" s="4609" t="s">
        <v>174</v>
      </c>
      <c r="R179" s="4943" t="s">
        <v>24</v>
      </c>
      <c r="S179" s="4680" t="s">
        <v>55</v>
      </c>
      <c r="T179" s="1714"/>
      <c r="U179" s="1714" t="s">
        <v>174</v>
      </c>
      <c r="V179" s="1350"/>
      <c r="W179" s="4681"/>
      <c r="Y179" s="1187"/>
      <c r="Z179" s="1187"/>
      <c r="AA179" s="1187"/>
      <c r="AB179" s="1187"/>
      <c r="AC179" s="1187"/>
      <c r="AD179" s="1187"/>
      <c r="AE179" s="1187"/>
      <c r="AF179" s="1187"/>
      <c r="AG179" s="1187"/>
      <c r="AH179" s="1187"/>
      <c r="AI179" s="1187"/>
      <c r="AJ179" s="1187"/>
      <c r="AK179" s="1187"/>
      <c r="AL179" s="1754"/>
      <c r="AM179" s="1754"/>
      <c r="AN179" s="1187"/>
      <c r="AO179" s="1187"/>
      <c r="AP179" s="1187"/>
      <c r="AQ179" s="1187"/>
    </row>
    <row r="180" spans="1:43" s="4554" customFormat="1" ht="17.25" customHeight="1">
      <c r="A180" s="1750"/>
      <c r="C180" s="1755"/>
      <c r="D180" s="1740"/>
      <c r="E180" s="1757"/>
      <c r="F180" s="1696"/>
      <c r="G180" s="1758"/>
      <c r="H180" s="1740"/>
      <c r="I180" s="1740"/>
      <c r="J180" s="1762"/>
      <c r="K180" s="1758"/>
      <c r="L180" s="4609"/>
      <c r="M180" s="4609"/>
      <c r="N180" s="4686"/>
      <c r="O180" s="4685"/>
      <c r="P180" s="4609"/>
      <c r="Q180" s="4609"/>
      <c r="R180" s="4943"/>
      <c r="S180" s="4680"/>
      <c r="T180" s="1351"/>
      <c r="U180" s="1352"/>
      <c r="V180" s="1352"/>
      <c r="W180" s="4681"/>
      <c r="Y180" s="1180"/>
      <c r="Z180" s="1180"/>
      <c r="AA180" s="1180"/>
      <c r="AB180" s="1180"/>
      <c r="AC180" s="1180"/>
      <c r="AD180" s="1180"/>
      <c r="AE180" s="1180"/>
      <c r="AF180" s="1180"/>
      <c r="AG180" s="1180"/>
      <c r="AH180" s="1180"/>
      <c r="AI180" s="1180"/>
      <c r="AJ180" s="1180"/>
      <c r="AK180" s="1180"/>
    </row>
    <row r="181" spans="1:43" s="4554" customFormat="1" ht="17.25" customHeight="1">
      <c r="A181" s="1750"/>
      <c r="C181" s="1755"/>
      <c r="D181" s="1740"/>
      <c r="E181" s="1757"/>
      <c r="F181" s="1696"/>
      <c r="G181" s="1758"/>
      <c r="H181" s="1740"/>
      <c r="I181" s="1740"/>
      <c r="J181" s="1762"/>
      <c r="K181" s="1758"/>
      <c r="L181" s="4642"/>
      <c r="M181" s="4642"/>
      <c r="N181" s="4687"/>
      <c r="O181" s="4613"/>
      <c r="P181" s="241"/>
      <c r="Q181" s="242"/>
      <c r="R181" s="242" t="s">
        <v>316</v>
      </c>
      <c r="S181" s="1756"/>
      <c r="T181" s="1756"/>
      <c r="U181" s="1756"/>
      <c r="V181" s="1756"/>
      <c r="W181" s="1349"/>
      <c r="Y181" s="1180"/>
      <c r="Z181" s="1180"/>
      <c r="AA181" s="1180"/>
      <c r="AB181" s="1180"/>
      <c r="AC181" s="1180"/>
      <c r="AD181" s="1180"/>
      <c r="AE181" s="1180"/>
      <c r="AF181" s="1180"/>
      <c r="AG181" s="1180"/>
      <c r="AH181" s="1180"/>
      <c r="AI181" s="1180"/>
      <c r="AJ181" s="1180"/>
      <c r="AK181" s="1180"/>
    </row>
    <row r="182" spans="1:43" ht="17.25" customHeight="1">
      <c r="A182" s="1761"/>
    </row>
    <row r="183" spans="1:43" s="4554" customFormat="1" ht="17.25" customHeight="1">
      <c r="A183" s="1750"/>
      <c r="C183" s="1752"/>
      <c r="D183" s="1740"/>
      <c r="E183" s="1757"/>
      <c r="F183" s="1696"/>
      <c r="G183" s="1758"/>
      <c r="H183" s="1740"/>
      <c r="I183" s="1740"/>
      <c r="J183" s="1762"/>
      <c r="K183" s="1758"/>
      <c r="L183" s="1740"/>
      <c r="M183" s="1740"/>
      <c r="N183" s="1760"/>
      <c r="O183" s="1699"/>
      <c r="P183" s="4609"/>
      <c r="Q183" s="4609" t="s">
        <v>174</v>
      </c>
      <c r="R183" s="4943" t="s">
        <v>24</v>
      </c>
      <c r="S183" s="4680" t="s">
        <v>55</v>
      </c>
      <c r="T183" s="1714"/>
      <c r="U183" s="1714" t="s">
        <v>174</v>
      </c>
      <c r="V183" s="1350"/>
      <c r="W183" s="4681"/>
      <c r="Y183" s="1187"/>
      <c r="Z183" s="1187"/>
      <c r="AA183" s="1187"/>
      <c r="AB183" s="1187"/>
      <c r="AC183" s="1187"/>
      <c r="AD183" s="1187"/>
      <c r="AE183" s="1187"/>
      <c r="AF183" s="1187"/>
      <c r="AG183" s="1187"/>
      <c r="AH183" s="1187"/>
      <c r="AI183" s="1187"/>
      <c r="AJ183" s="1187"/>
      <c r="AK183" s="1187"/>
      <c r="AL183" s="1754"/>
      <c r="AM183" s="1754"/>
      <c r="AN183" s="1187"/>
      <c r="AO183" s="1187"/>
      <c r="AP183" s="1187"/>
      <c r="AQ183" s="1187"/>
    </row>
    <row r="184" spans="1:43" s="4554" customFormat="1" ht="17.25" customHeight="1">
      <c r="A184" s="1750"/>
      <c r="C184" s="1755"/>
      <c r="D184" s="1740"/>
      <c r="E184" s="1757"/>
      <c r="F184" s="1696"/>
      <c r="G184" s="1758"/>
      <c r="H184" s="1740"/>
      <c r="I184" s="1740"/>
      <c r="J184" s="1762"/>
      <c r="K184" s="1758"/>
      <c r="L184" s="1740"/>
      <c r="M184" s="1740"/>
      <c r="N184" s="1760"/>
      <c r="O184" s="1699"/>
      <c r="P184" s="4609"/>
      <c r="Q184" s="4609"/>
      <c r="R184" s="4943"/>
      <c r="S184" s="4680"/>
      <c r="T184" s="1351"/>
      <c r="U184" s="1352"/>
      <c r="V184" s="1352"/>
      <c r="W184" s="4681"/>
      <c r="Y184" s="1180"/>
      <c r="Z184" s="1180"/>
      <c r="AA184" s="1180"/>
      <c r="AB184" s="1180"/>
      <c r="AC184" s="1180"/>
      <c r="AD184" s="1180"/>
      <c r="AE184" s="1180"/>
      <c r="AF184" s="1180"/>
      <c r="AG184" s="1180"/>
      <c r="AH184" s="1180"/>
      <c r="AI184" s="1180"/>
      <c r="AJ184" s="1180"/>
      <c r="AK184" s="1180"/>
    </row>
    <row r="185" spans="1:43" ht="17.25" customHeight="1">
      <c r="A185" s="1761"/>
    </row>
    <row r="186" spans="1:43" ht="16.5" customHeight="1">
      <c r="A186" s="1750"/>
      <c r="B186" s="1751"/>
      <c r="C186" s="1755"/>
      <c r="D186" s="4682"/>
      <c r="E186" s="4693"/>
      <c r="F186" s="4693"/>
      <c r="G186" s="4627"/>
      <c r="H186" s="4648"/>
      <c r="I186" s="4650"/>
      <c r="J186" s="4652"/>
      <c r="K186" s="4635"/>
      <c r="L186" s="4635"/>
      <c r="M186" s="4635"/>
      <c r="N186" s="4637"/>
      <c r="O186" s="4635"/>
      <c r="P186" s="4635"/>
      <c r="Q186" s="4635"/>
      <c r="R186" s="4640"/>
      <c r="S186" s="4635"/>
      <c r="T186" s="1695"/>
      <c r="U186" s="1695"/>
      <c r="V186" s="1763"/>
      <c r="W186" s="1216"/>
    </row>
    <row r="187" spans="1:43" ht="16.5" customHeight="1">
      <c r="A187" s="1750"/>
      <c r="B187" s="1751"/>
      <c r="C187" s="1755"/>
      <c r="D187" s="4682"/>
      <c r="E187" s="4693"/>
      <c r="F187" s="4693"/>
      <c r="G187" s="4627"/>
      <c r="H187" s="4649"/>
      <c r="I187" s="4651"/>
      <c r="J187" s="4653"/>
      <c r="K187" s="4636"/>
      <c r="L187" s="4636"/>
      <c r="M187" s="4636"/>
      <c r="N187" s="4638"/>
      <c r="O187" s="4636"/>
      <c r="P187" s="4636"/>
      <c r="Q187" s="4636"/>
      <c r="R187" s="4639"/>
      <c r="S187" s="4636"/>
      <c r="T187" s="1217"/>
      <c r="U187" s="1217"/>
      <c r="V187" s="1217"/>
      <c r="W187" s="1218"/>
    </row>
    <row r="188" spans="1:43" ht="17.25" customHeight="1">
      <c r="A188" s="1750"/>
      <c r="B188" s="1751"/>
      <c r="C188" s="1755"/>
      <c r="D188" s="4682"/>
      <c r="E188" s="4693"/>
      <c r="F188" s="4693"/>
      <c r="G188" s="4627"/>
      <c r="H188" s="4649"/>
      <c r="I188" s="4651"/>
      <c r="J188" s="4654"/>
      <c r="K188" s="4636"/>
      <c r="L188" s="4636"/>
      <c r="M188" s="4636"/>
      <c r="N188" s="4639"/>
      <c r="O188" s="4636"/>
      <c r="P188" s="1698"/>
      <c r="Q188" s="1217"/>
      <c r="R188" s="1217"/>
      <c r="S188" s="1764"/>
      <c r="T188" s="1764"/>
      <c r="U188" s="1764"/>
      <c r="V188" s="1764"/>
      <c r="W188" s="1218"/>
    </row>
    <row r="189" spans="1:43" ht="17.25" customHeight="1">
      <c r="A189" s="1750"/>
      <c r="B189" s="1751"/>
      <c r="C189" s="1755"/>
      <c r="D189" s="4682"/>
      <c r="E189" s="4693"/>
      <c r="F189" s="4693"/>
      <c r="G189" s="4627"/>
      <c r="H189" s="4649"/>
      <c r="I189" s="4651"/>
      <c r="J189" s="4654"/>
      <c r="K189" s="4636"/>
      <c r="L189" s="1217"/>
      <c r="M189" s="1217"/>
      <c r="N189" s="1217"/>
      <c r="O189" s="1217"/>
      <c r="P189" s="1217"/>
      <c r="Q189" s="1217"/>
      <c r="R189" s="1217"/>
      <c r="S189" s="1764"/>
      <c r="T189" s="1764"/>
      <c r="U189" s="1764"/>
      <c r="V189" s="1764"/>
      <c r="W189" s="1218"/>
    </row>
    <row r="190" spans="1:43" ht="17.25" customHeight="1">
      <c r="A190" s="1750"/>
      <c r="B190" s="1751"/>
      <c r="C190" s="1755"/>
      <c r="D190" s="4682"/>
      <c r="E190" s="4693"/>
      <c r="F190" s="4693"/>
      <c r="G190" s="4627"/>
      <c r="H190" s="1219"/>
      <c r="I190" s="1220"/>
      <c r="J190" s="1220"/>
      <c r="K190" s="1220"/>
      <c r="L190" s="1220"/>
      <c r="M190" s="1220"/>
      <c r="N190" s="1220"/>
      <c r="O190" s="1220"/>
      <c r="P190" s="1220"/>
      <c r="Q190" s="1220"/>
      <c r="R190" s="1220"/>
      <c r="S190" s="1765"/>
      <c r="T190" s="1765"/>
      <c r="U190" s="1765"/>
      <c r="V190" s="1765"/>
      <c r="W190" s="1222"/>
    </row>
    <row r="192" spans="1:43" s="4551" customFormat="1" ht="17.25" customHeight="1">
      <c r="A192" s="1727" t="s">
        <v>1303</v>
      </c>
    </row>
    <row r="193" spans="1:63" ht="17.25" customHeight="1">
      <c r="G193" s="1749"/>
      <c r="H193" s="1749"/>
      <c r="I193" s="1749"/>
      <c r="M193" s="1745"/>
    </row>
    <row r="194" spans="1:63" s="1832" customFormat="1" ht="15" customHeight="1">
      <c r="D194" s="4959"/>
      <c r="E194" s="4708"/>
      <c r="F194" s="4708"/>
      <c r="G194" s="4684"/>
      <c r="H194" s="1482"/>
      <c r="I194" s="4963">
        <v>1</v>
      </c>
      <c r="J194" s="4681"/>
      <c r="K194" s="1497"/>
      <c r="L194" s="4684" t="s">
        <v>65</v>
      </c>
      <c r="M194" s="4684" t="s">
        <v>65</v>
      </c>
      <c r="N194" s="1482"/>
      <c r="O194" s="4609" t="s">
        <v>174</v>
      </c>
      <c r="P194" s="4953"/>
      <c r="Q194" s="1498"/>
      <c r="R194" s="4684" t="s">
        <v>65</v>
      </c>
      <c r="S194" s="4684" t="s">
        <v>65</v>
      </c>
      <c r="T194" s="1766"/>
      <c r="U194" s="4609" t="s">
        <v>174</v>
      </c>
      <c r="V194" s="4960" t="str">
        <f>IF(AK194="","",INDEX(TERRITORY_MR_LIST,MATCH(AK194,TERRITORY_LIST_ID,0)))</f>
        <v/>
      </c>
      <c r="W194" s="1499"/>
      <c r="X194" s="4684" t="s">
        <v>65</v>
      </c>
      <c r="Y194" s="4684" t="s">
        <v>55</v>
      </c>
      <c r="Z194" s="1482"/>
      <c r="AA194" s="4609" t="s">
        <v>174</v>
      </c>
      <c r="AB194" s="4962"/>
      <c r="AC194" s="1500"/>
      <c r="AD194" s="4684" t="s">
        <v>65</v>
      </c>
      <c r="AE194" s="4684" t="s">
        <v>55</v>
      </c>
      <c r="AF194" s="1480"/>
      <c r="AG194" s="1723" t="s">
        <v>174</v>
      </c>
      <c r="AH194" s="1490"/>
      <c r="AI194" s="1713"/>
    </row>
    <row r="195" spans="1:63" s="1832" customFormat="1" ht="15" customHeight="1">
      <c r="D195" s="4959"/>
      <c r="E195" s="4708"/>
      <c r="F195" s="4708"/>
      <c r="G195" s="4685"/>
      <c r="H195" s="1482"/>
      <c r="I195" s="4963"/>
      <c r="J195" s="4681"/>
      <c r="K195" s="1481"/>
      <c r="L195" s="4685"/>
      <c r="M195" s="4685"/>
      <c r="N195" s="1482"/>
      <c r="O195" s="4609"/>
      <c r="P195" s="4953"/>
      <c r="Q195" s="1478"/>
      <c r="R195" s="4685"/>
      <c r="S195" s="4685"/>
      <c r="T195" s="1766"/>
      <c r="U195" s="4609"/>
      <c r="V195" s="4961"/>
      <c r="W195" s="1479"/>
      <c r="X195" s="4685"/>
      <c r="Y195" s="4685"/>
      <c r="Z195" s="1482"/>
      <c r="AA195" s="4609"/>
      <c r="AB195" s="4937"/>
      <c r="AC195" s="1483"/>
      <c r="AD195" s="4613"/>
      <c r="AE195" s="4613"/>
      <c r="AF195" s="1484"/>
      <c r="AG195" s="1485"/>
      <c r="AH195" s="4954" t="s">
        <v>1304</v>
      </c>
      <c r="AI195" s="4955"/>
    </row>
    <row r="196" spans="1:63" s="1832" customFormat="1" ht="15" customHeight="1">
      <c r="D196" s="4959"/>
      <c r="E196" s="4708"/>
      <c r="F196" s="4708"/>
      <c r="G196" s="4685"/>
      <c r="H196" s="1482"/>
      <c r="I196" s="4963"/>
      <c r="J196" s="4681"/>
      <c r="K196" s="1481"/>
      <c r="L196" s="4685"/>
      <c r="M196" s="4685"/>
      <c r="N196" s="1482"/>
      <c r="O196" s="4609"/>
      <c r="P196" s="4953"/>
      <c r="Q196" s="1478"/>
      <c r="R196" s="4685"/>
      <c r="S196" s="4685"/>
      <c r="T196" s="1766"/>
      <c r="U196" s="4609"/>
      <c r="V196" s="4961"/>
      <c r="W196" s="1479"/>
      <c r="X196" s="4685"/>
      <c r="Y196" s="4685"/>
      <c r="Z196" s="1521"/>
      <c r="AA196" s="1487"/>
      <c r="AB196" s="4956" t="s">
        <v>1305</v>
      </c>
      <c r="AC196" s="4956"/>
      <c r="AD196" s="4956"/>
      <c r="AE196" s="4956"/>
      <c r="AF196" s="4956"/>
      <c r="AG196" s="4956"/>
      <c r="AH196" s="4956"/>
      <c r="AI196" s="4957"/>
    </row>
    <row r="197" spans="1:63" s="1832" customFormat="1" ht="15" customHeight="1">
      <c r="D197" s="4959"/>
      <c r="E197" s="4708"/>
      <c r="F197" s="4708"/>
      <c r="G197" s="4685"/>
      <c r="H197" s="1482"/>
      <c r="I197" s="4963"/>
      <c r="J197" s="4681"/>
      <c r="K197" s="1481"/>
      <c r="L197" s="4685"/>
      <c r="M197" s="4685"/>
      <c r="N197" s="1482"/>
      <c r="O197" s="4609"/>
      <c r="P197" s="4958"/>
      <c r="Q197" s="1478"/>
      <c r="R197" s="4685"/>
      <c r="S197" s="4685"/>
      <c r="T197" s="1767"/>
      <c r="U197" s="1522"/>
      <c r="V197" s="4954" t="s">
        <v>168</v>
      </c>
      <c r="W197" s="4954"/>
      <c r="X197" s="4954"/>
      <c r="Y197" s="4954"/>
      <c r="Z197" s="4954"/>
      <c r="AA197" s="4954"/>
      <c r="AB197" s="4954"/>
      <c r="AC197" s="4954"/>
      <c r="AD197" s="4954"/>
      <c r="AE197" s="4954"/>
      <c r="AF197" s="4954"/>
      <c r="AG197" s="4954"/>
      <c r="AH197" s="4954"/>
      <c r="AI197" s="4955"/>
    </row>
    <row r="198" spans="1:63" s="1832" customFormat="1" ht="11.25" customHeight="1">
      <c r="D198" s="4959"/>
      <c r="E198" s="4708"/>
      <c r="F198" s="4708"/>
      <c r="G198" s="4685"/>
      <c r="H198" s="1486"/>
      <c r="I198" s="4963"/>
      <c r="J198" s="4964"/>
      <c r="K198" s="1481"/>
      <c r="L198" s="4685"/>
      <c r="M198" s="4685"/>
      <c r="N198" s="1486"/>
      <c r="O198" s="1487"/>
      <c r="P198" s="4954" t="s">
        <v>1306</v>
      </c>
      <c r="Q198" s="4954"/>
      <c r="R198" s="4954"/>
      <c r="S198" s="4954"/>
      <c r="T198" s="4954"/>
      <c r="U198" s="4954"/>
      <c r="V198" s="4954"/>
      <c r="W198" s="4954"/>
      <c r="X198" s="4954"/>
      <c r="Y198" s="4954"/>
      <c r="Z198" s="4954"/>
      <c r="AA198" s="4954"/>
      <c r="AB198" s="4954"/>
      <c r="AC198" s="4954"/>
      <c r="AD198" s="4954"/>
      <c r="AE198" s="4954"/>
      <c r="AF198" s="4954"/>
      <c r="AG198" s="4954"/>
      <c r="AH198" s="4954"/>
      <c r="AI198" s="4955"/>
    </row>
    <row r="199" spans="1:63" s="1918" customFormat="1" ht="11.25" customHeight="1">
      <c r="D199" s="4959"/>
      <c r="E199" s="4708"/>
      <c r="F199" s="4708"/>
      <c r="G199" s="4613"/>
      <c r="H199" s="1488"/>
      <c r="I199" s="1489"/>
      <c r="J199" s="4954" t="s">
        <v>407</v>
      </c>
      <c r="K199" s="4954"/>
      <c r="L199" s="4954"/>
      <c r="M199" s="4954"/>
      <c r="N199" s="4954"/>
      <c r="O199" s="4954"/>
      <c r="P199" s="4954"/>
      <c r="Q199" s="4954"/>
      <c r="R199" s="4954"/>
      <c r="S199" s="4954"/>
      <c r="T199" s="4954"/>
      <c r="U199" s="4954"/>
      <c r="V199" s="4954"/>
      <c r="W199" s="4954"/>
      <c r="X199" s="4954"/>
      <c r="Y199" s="4954"/>
      <c r="Z199" s="4954"/>
      <c r="AA199" s="4954"/>
      <c r="AB199" s="4954"/>
      <c r="AC199" s="4954"/>
      <c r="AD199" s="4954"/>
      <c r="AE199" s="4954"/>
      <c r="AF199" s="4954"/>
      <c r="AG199" s="4954"/>
      <c r="AH199" s="4954"/>
      <c r="AI199" s="4955"/>
      <c r="BK199" s="1492"/>
    </row>
    <row r="200" spans="1:63" ht="17.25" customHeight="1">
      <c r="G200" s="1749"/>
      <c r="I200" s="1749"/>
      <c r="J200" s="1749"/>
      <c r="N200" s="1745"/>
    </row>
    <row r="201" spans="1:63" s="1832" customFormat="1" ht="15" customHeight="1">
      <c r="D201" s="4959"/>
      <c r="E201" s="4708"/>
      <c r="F201" s="4708"/>
      <c r="G201" s="4693"/>
      <c r="H201" s="1517"/>
      <c r="I201" s="4695"/>
      <c r="J201" s="4652"/>
      <c r="K201" s="1697"/>
      <c r="L201" s="4635"/>
      <c r="M201" s="4635"/>
      <c r="N201" s="1502"/>
      <c r="O201" s="4635"/>
      <c r="P201" s="4652"/>
      <c r="Q201" s="1701"/>
      <c r="R201" s="4635"/>
      <c r="S201" s="4635"/>
      <c r="T201" s="1768"/>
      <c r="U201" s="4635"/>
      <c r="V201" s="4652"/>
      <c r="W201" s="1505"/>
      <c r="X201" s="4635"/>
      <c r="Y201" s="4635"/>
      <c r="Z201" s="1502"/>
      <c r="AA201" s="4635"/>
      <c r="AB201" s="4652"/>
      <c r="AC201" s="1506"/>
      <c r="AD201" s="4635"/>
      <c r="AE201" s="4635"/>
      <c r="AF201" s="1695"/>
      <c r="AG201" s="1695"/>
      <c r="AH201" s="1507"/>
      <c r="AI201" s="1216"/>
    </row>
    <row r="202" spans="1:63" s="1832" customFormat="1" ht="15" customHeight="1">
      <c r="D202" s="4959"/>
      <c r="E202" s="4708"/>
      <c r="F202" s="4708"/>
      <c r="G202" s="4693"/>
      <c r="H202" s="1518"/>
      <c r="I202" s="4696"/>
      <c r="J202" s="4653"/>
      <c r="K202" s="1526"/>
      <c r="L202" s="4636"/>
      <c r="M202" s="4636"/>
      <c r="N202" s="1508"/>
      <c r="O202" s="4636"/>
      <c r="P202" s="4653"/>
      <c r="Q202" s="1702"/>
      <c r="R202" s="4636"/>
      <c r="S202" s="4636"/>
      <c r="T202" s="1769"/>
      <c r="U202" s="4636"/>
      <c r="V202" s="4653"/>
      <c r="W202" s="1511"/>
      <c r="X202" s="4636"/>
      <c r="Y202" s="4636"/>
      <c r="Z202" s="1508"/>
      <c r="AA202" s="4636"/>
      <c r="AB202" s="4653"/>
      <c r="AC202" s="1512"/>
      <c r="AD202" s="4636"/>
      <c r="AE202" s="4636"/>
      <c r="AF202" s="1700"/>
      <c r="AG202" s="1700"/>
      <c r="AH202" s="4691"/>
      <c r="AI202" s="4692"/>
    </row>
    <row r="203" spans="1:63" s="1832" customFormat="1" ht="15" customHeight="1">
      <c r="D203" s="4959"/>
      <c r="E203" s="4708"/>
      <c r="F203" s="4708"/>
      <c r="G203" s="4693"/>
      <c r="H203" s="1518"/>
      <c r="I203" s="4696"/>
      <c r="J203" s="4653"/>
      <c r="K203" s="1526"/>
      <c r="L203" s="4636"/>
      <c r="M203" s="4636"/>
      <c r="N203" s="1508"/>
      <c r="O203" s="4636"/>
      <c r="P203" s="4653"/>
      <c r="Q203" s="1702"/>
      <c r="R203" s="4636"/>
      <c r="S203" s="4636"/>
      <c r="T203" s="1769"/>
      <c r="U203" s="4636"/>
      <c r="V203" s="4653"/>
      <c r="W203" s="1511"/>
      <c r="X203" s="4636"/>
      <c r="Y203" s="4636"/>
      <c r="Z203" s="1698"/>
      <c r="AA203" s="1700"/>
      <c r="AB203" s="4691"/>
      <c r="AC203" s="4691"/>
      <c r="AD203" s="4691"/>
      <c r="AE203" s="4691"/>
      <c r="AF203" s="4691"/>
      <c r="AG203" s="4691"/>
      <c r="AH203" s="4691"/>
      <c r="AI203" s="4692"/>
    </row>
    <row r="204" spans="1:63" s="1832" customFormat="1" ht="15" customHeight="1">
      <c r="D204" s="4959"/>
      <c r="E204" s="4708"/>
      <c r="F204" s="4708"/>
      <c r="G204" s="4693"/>
      <c r="H204" s="1518"/>
      <c r="I204" s="4696"/>
      <c r="J204" s="4653"/>
      <c r="K204" s="1526"/>
      <c r="L204" s="4636"/>
      <c r="M204" s="4636"/>
      <c r="N204" s="1508"/>
      <c r="O204" s="4636"/>
      <c r="P204" s="4653"/>
      <c r="Q204" s="1702"/>
      <c r="R204" s="4636"/>
      <c r="S204" s="4636"/>
      <c r="T204" s="1770"/>
      <c r="U204" s="1515"/>
      <c r="V204" s="4691"/>
      <c r="W204" s="4691"/>
      <c r="X204" s="4691"/>
      <c r="Y204" s="4691"/>
      <c r="Z204" s="4691"/>
      <c r="AA204" s="4691"/>
      <c r="AB204" s="4691"/>
      <c r="AC204" s="4691"/>
      <c r="AD204" s="4691"/>
      <c r="AE204" s="4691"/>
      <c r="AF204" s="4691"/>
      <c r="AG204" s="4691"/>
      <c r="AH204" s="4691"/>
      <c r="AI204" s="4692"/>
    </row>
    <row r="205" spans="1:63" s="1832" customFormat="1" ht="11.25" customHeight="1">
      <c r="D205" s="4959"/>
      <c r="E205" s="4708"/>
      <c r="F205" s="4708"/>
      <c r="G205" s="4693"/>
      <c r="H205" s="1519"/>
      <c r="I205" s="4696"/>
      <c r="J205" s="4653"/>
      <c r="K205" s="1526"/>
      <c r="L205" s="4636"/>
      <c r="M205" s="4636"/>
      <c r="N205" s="1700"/>
      <c r="O205" s="1700"/>
      <c r="P205" s="4691"/>
      <c r="Q205" s="4691"/>
      <c r="R205" s="4691"/>
      <c r="S205" s="4691"/>
      <c r="T205" s="4691"/>
      <c r="U205" s="4691"/>
      <c r="V205" s="4691"/>
      <c r="W205" s="4691"/>
      <c r="X205" s="4691"/>
      <c r="Y205" s="4691"/>
      <c r="Z205" s="4691"/>
      <c r="AA205" s="4691"/>
      <c r="AB205" s="4691"/>
      <c r="AC205" s="4691"/>
      <c r="AD205" s="4691"/>
      <c r="AE205" s="4691"/>
      <c r="AF205" s="4691"/>
      <c r="AG205" s="4691"/>
      <c r="AH205" s="4691"/>
      <c r="AI205" s="4692"/>
    </row>
    <row r="206" spans="1:63" s="1918" customFormat="1" ht="11.25" customHeight="1">
      <c r="D206" s="4959"/>
      <c r="E206" s="4708"/>
      <c r="F206" s="4708"/>
      <c r="G206" s="4698"/>
      <c r="H206" s="1516"/>
      <c r="I206" s="1520"/>
      <c r="J206" s="4699"/>
      <c r="K206" s="4699"/>
      <c r="L206" s="4699"/>
      <c r="M206" s="4699"/>
      <c r="N206" s="4699"/>
      <c r="O206" s="4699"/>
      <c r="P206" s="4699"/>
      <c r="Q206" s="4699"/>
      <c r="R206" s="4699"/>
      <c r="S206" s="4699"/>
      <c r="T206" s="4699"/>
      <c r="U206" s="4699"/>
      <c r="V206" s="4699"/>
      <c r="W206" s="4699"/>
      <c r="X206" s="4699"/>
      <c r="Y206" s="4699"/>
      <c r="Z206" s="4699"/>
      <c r="AA206" s="4699"/>
      <c r="AB206" s="4699"/>
      <c r="AC206" s="4699"/>
      <c r="AD206" s="4699"/>
      <c r="AE206" s="4699"/>
      <c r="AF206" s="4699"/>
      <c r="AG206" s="4699"/>
      <c r="AH206" s="4699"/>
      <c r="AI206" s="4700"/>
      <c r="BK206" s="1492"/>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4559" customWidth="1"/>
    <col min="2" max="2" width="11" style="4560" customWidth="1"/>
    <col min="3" max="3" width="9.140625" style="4560"/>
    <col min="4" max="4" width="26.5703125" style="4560" customWidth="1"/>
    <col min="5" max="5" width="27.7109375" style="4557" customWidth="1"/>
    <col min="6" max="6" width="23.5703125" style="4557" customWidth="1"/>
    <col min="7" max="7" width="31.42578125" style="4557" customWidth="1"/>
    <col min="8" max="8" width="40.85546875" style="4557" customWidth="1"/>
    <col min="9" max="9" width="14.5703125" style="4557" customWidth="1"/>
    <col min="10" max="10" width="26.85546875" style="4557" customWidth="1"/>
    <col min="11" max="11" width="50" style="4557" customWidth="1"/>
    <col min="12" max="12" width="52.42578125" style="4557" customWidth="1"/>
    <col min="13" max="13" width="10.7109375" style="4557" customWidth="1"/>
    <col min="14" max="14" width="55.140625" style="4557" customWidth="1"/>
    <col min="15" max="15" width="31.85546875" style="4557" customWidth="1"/>
    <col min="16" max="16" width="23.85546875" style="4557" customWidth="1"/>
    <col min="17" max="17" width="46.5703125" style="4557" customWidth="1"/>
    <col min="18" max="18" width="24" style="4557" customWidth="1"/>
    <col min="19" max="19" width="20.5703125" style="4557" customWidth="1"/>
    <col min="20" max="20" width="22" style="4557" customWidth="1"/>
    <col min="21" max="22" width="26.42578125" style="4557" customWidth="1"/>
    <col min="23" max="23" width="8.28515625" style="4557" hidden="1" customWidth="1"/>
    <col min="24" max="24" width="59.7109375" style="4557" customWidth="1"/>
    <col min="25" max="25" width="49.140625" style="4557" customWidth="1"/>
    <col min="26" max="26" width="11.140625" style="4557" customWidth="1"/>
    <col min="27" max="30" width="29" style="4557" customWidth="1"/>
    <col min="31" max="31" width="9.140625" style="4557"/>
    <col min="32" max="32" width="34.7109375" style="4557" customWidth="1"/>
    <col min="33" max="33" width="9.140625" style="4557"/>
    <col min="34" max="35" width="34.42578125" style="4557" customWidth="1"/>
    <col min="36" max="36" width="9.140625" style="4557"/>
    <col min="37" max="37" width="24.5703125" style="4557" customWidth="1"/>
    <col min="38" max="38" width="9.140625" style="4557"/>
    <col min="39" max="39" width="26.140625" style="4557" customWidth="1"/>
    <col min="40" max="40" width="1.7109375" style="4557" customWidth="1"/>
    <col min="41" max="41" width="9.140625" style="4557"/>
    <col min="42" max="43" width="47.85546875" style="4557" customWidth="1"/>
    <col min="44" max="44" width="1.7109375" style="4557" customWidth="1"/>
    <col min="45" max="45" width="21.42578125" style="4557" customWidth="1"/>
    <col min="46" max="46" width="1.7109375" style="4557" customWidth="1"/>
    <col min="47" max="47" width="31.28515625" style="4557" customWidth="1"/>
    <col min="48" max="48" width="1.7109375" style="4557" customWidth="1"/>
    <col min="49" max="50" width="9.140625" style="4561"/>
    <col min="51" max="51" width="3.7109375" style="4557" customWidth="1"/>
    <col min="52" max="52" width="55" style="4557" customWidth="1"/>
    <col min="53" max="53" width="9.140625" style="4557"/>
    <col min="54" max="54" width="35.140625" style="4557" customWidth="1"/>
    <col min="55" max="55" width="9.140625" style="4557"/>
    <col min="56" max="56" width="1.7109375" style="4557" customWidth="1"/>
    <col min="57" max="57" width="12.5703125" style="4562" customWidth="1"/>
    <col min="58" max="58" width="14.28515625" style="4562" customWidth="1"/>
    <col min="59" max="59" width="30.7109375" style="4557" customWidth="1"/>
    <col min="60" max="60" width="40.7109375" style="4556" customWidth="1"/>
    <col min="61" max="61" width="15" style="4556" customWidth="1"/>
    <col min="62" max="62" width="40.7109375" style="4556" customWidth="1"/>
    <col min="63" max="63" width="2.7109375" style="4556" customWidth="1"/>
    <col min="64" max="64" width="44.7109375" style="4556" customWidth="1"/>
    <col min="65" max="65" width="2.7109375" style="4556" customWidth="1"/>
    <col min="66" max="66" width="40.7109375" style="4556" customWidth="1"/>
    <col min="67" max="68" width="9.140625" style="4557"/>
    <col min="69" max="69" width="18.140625" style="4557" customWidth="1"/>
    <col min="70" max="70" width="57.85546875" style="4557" customWidth="1"/>
    <col min="71" max="71" width="1.7109375" style="4558" customWidth="1"/>
    <col min="72" max="72" width="22.5703125" style="4557" customWidth="1"/>
    <col min="73" max="73" width="57.85546875" style="4557" customWidth="1"/>
    <col min="74" max="74" width="1.7109375" style="4557" customWidth="1"/>
    <col min="75" max="75" width="22.5703125" style="4557" customWidth="1"/>
    <col min="76" max="76" width="57.85546875" style="4557" customWidth="1"/>
    <col min="77" max="77" width="1.7109375" style="4557" customWidth="1"/>
    <col min="78" max="78" width="22.5703125" style="4557" customWidth="1"/>
    <col min="79" max="79" width="57.85546875" style="4557" customWidth="1"/>
    <col min="80" max="81" width="9.140625" style="4557"/>
    <col min="82" max="82" width="49.5703125" style="4557" customWidth="1"/>
  </cols>
  <sheetData>
    <row r="1" spans="1:79" s="4555" customFormat="1" ht="11.25" customHeight="1">
      <c r="A1" s="973" t="s">
        <v>1307</v>
      </c>
      <c r="B1" s="973" t="s">
        <v>1308</v>
      </c>
      <c r="C1" s="973" t="s">
        <v>1309</v>
      </c>
      <c r="D1" s="973" t="s">
        <v>1310</v>
      </c>
      <c r="E1" s="973" t="s">
        <v>1311</v>
      </c>
      <c r="F1" s="973" t="s">
        <v>1312</v>
      </c>
      <c r="G1" s="973" t="s">
        <v>1313</v>
      </c>
      <c r="H1" s="973" t="s">
        <v>1314</v>
      </c>
      <c r="I1" s="973" t="s">
        <v>1315</v>
      </c>
      <c r="J1" s="973" t="s">
        <v>1316</v>
      </c>
      <c r="K1" s="973" t="s">
        <v>1317</v>
      </c>
      <c r="L1" s="973" t="s">
        <v>1318</v>
      </c>
      <c r="M1" s="973"/>
      <c r="N1" s="973" t="s">
        <v>1319</v>
      </c>
      <c r="O1" s="973" t="s">
        <v>1320</v>
      </c>
      <c r="P1" s="973" t="s">
        <v>1321</v>
      </c>
      <c r="Q1" s="973" t="s">
        <v>1322</v>
      </c>
      <c r="R1" s="973" t="s">
        <v>1323</v>
      </c>
      <c r="S1" s="973" t="s">
        <v>1324</v>
      </c>
      <c r="T1" s="973" t="s">
        <v>1325</v>
      </c>
      <c r="U1" s="973" t="s">
        <v>1326</v>
      </c>
      <c r="V1" s="973"/>
      <c r="W1" s="715" t="s">
        <v>1327</v>
      </c>
      <c r="X1" s="973" t="s">
        <v>1328</v>
      </c>
      <c r="Y1" s="973" t="s">
        <v>1329</v>
      </c>
      <c r="Z1" s="973"/>
      <c r="AA1" s="973" t="s">
        <v>1330</v>
      </c>
      <c r="AB1" s="973"/>
      <c r="AC1" s="973" t="s">
        <v>1331</v>
      </c>
      <c r="AD1" s="973"/>
      <c r="AF1" s="973" t="s">
        <v>1332</v>
      </c>
      <c r="AH1" s="973" t="s">
        <v>1333</v>
      </c>
      <c r="AI1" s="973" t="s">
        <v>1334</v>
      </c>
      <c r="AK1" s="973" t="s">
        <v>1335</v>
      </c>
      <c r="AM1" s="973" t="s">
        <v>1336</v>
      </c>
      <c r="AP1" s="973" t="s">
        <v>1337</v>
      </c>
      <c r="AQ1" s="973" t="s">
        <v>1338</v>
      </c>
      <c r="AS1" s="973" t="s">
        <v>1339</v>
      </c>
      <c r="AU1" s="973" t="s">
        <v>1340</v>
      </c>
      <c r="AW1" s="973" t="s">
        <v>1341</v>
      </c>
      <c r="AX1" s="973" t="s">
        <v>1342</v>
      </c>
      <c r="AZ1" s="1053" t="s">
        <v>1343</v>
      </c>
      <c r="BB1" s="973" t="s">
        <v>1344</v>
      </c>
      <c r="BC1" s="973"/>
      <c r="BE1" s="973" t="s">
        <v>1345</v>
      </c>
      <c r="BF1" s="973" t="s">
        <v>1346</v>
      </c>
      <c r="BH1" s="975" t="s">
        <v>857</v>
      </c>
      <c r="BI1" s="976"/>
      <c r="BJ1" s="977" t="s">
        <v>1347</v>
      </c>
      <c r="BK1" s="976"/>
      <c r="BL1" s="978" t="s">
        <v>955</v>
      </c>
      <c r="BM1" s="976"/>
      <c r="BN1" s="979" t="s">
        <v>1348</v>
      </c>
      <c r="BS1" s="1343"/>
    </row>
    <row r="2" spans="1:79" ht="11.25" customHeight="1">
      <c r="A2" s="980" t="s">
        <v>1349</v>
      </c>
      <c r="B2" s="981">
        <v>2000</v>
      </c>
      <c r="C2" s="981">
        <v>2022</v>
      </c>
      <c r="D2" s="981" t="s">
        <v>65</v>
      </c>
      <c r="E2" s="982" t="s">
        <v>1350</v>
      </c>
      <c r="F2" s="982" t="s">
        <v>1351</v>
      </c>
      <c r="G2" s="982" t="s">
        <v>1352</v>
      </c>
      <c r="H2" s="983" t="s">
        <v>53</v>
      </c>
      <c r="I2" s="982" t="s">
        <v>174</v>
      </c>
      <c r="J2" s="982" t="s">
        <v>1353</v>
      </c>
      <c r="K2" s="984" t="s">
        <v>1354</v>
      </c>
      <c r="L2" s="985"/>
      <c r="M2" s="984">
        <v>1</v>
      </c>
      <c r="N2" s="1063" t="s">
        <v>1355</v>
      </c>
      <c r="O2" s="983" t="s">
        <v>1356</v>
      </c>
      <c r="P2" s="986" t="s">
        <v>33</v>
      </c>
      <c r="Q2" s="987" t="s">
        <v>1357</v>
      </c>
      <c r="R2" s="68" t="s">
        <v>1358</v>
      </c>
      <c r="S2" s="68" t="s">
        <v>1359</v>
      </c>
      <c r="T2" s="988" t="s">
        <v>1360</v>
      </c>
      <c r="U2" s="985" t="s">
        <v>1361</v>
      </c>
      <c r="V2" s="989">
        <v>1</v>
      </c>
      <c r="W2" s="990"/>
      <c r="X2" s="990" t="s">
        <v>1362</v>
      </c>
      <c r="Y2" s="981" t="s">
        <v>1363</v>
      </c>
      <c r="Z2" s="991"/>
      <c r="AA2" s="981" t="s">
        <v>1364</v>
      </c>
      <c r="AB2" s="992" t="s">
        <v>1364</v>
      </c>
      <c r="AC2" s="981" t="s">
        <v>1365</v>
      </c>
      <c r="AD2" s="992" t="s">
        <v>1365</v>
      </c>
      <c r="AF2" s="983" t="s">
        <v>1361</v>
      </c>
      <c r="AH2" s="982" t="s">
        <v>1366</v>
      </c>
      <c r="AI2" s="982" t="s">
        <v>1366</v>
      </c>
      <c r="AK2" s="982" t="s">
        <v>1367</v>
      </c>
      <c r="AM2" s="982" t="s">
        <v>1368</v>
      </c>
      <c r="AP2" s="993" t="s">
        <v>1362</v>
      </c>
      <c r="AQ2" s="994" t="s">
        <v>1362</v>
      </c>
      <c r="AS2" s="981" t="s">
        <v>1369</v>
      </c>
      <c r="AU2" s="1024" t="s">
        <v>1370</v>
      </c>
      <c r="AW2" s="1024" t="s">
        <v>1371</v>
      </c>
      <c r="AX2" s="1024" t="s">
        <v>1371</v>
      </c>
      <c r="AZ2" s="1024" t="s">
        <v>1372</v>
      </c>
      <c r="BB2" s="1024" t="s">
        <v>1373</v>
      </c>
      <c r="BC2" s="1024" t="s">
        <v>1374</v>
      </c>
      <c r="BE2" s="1024">
        <v>2000</v>
      </c>
      <c r="BF2" s="1024" t="s">
        <v>1375</v>
      </c>
    </row>
    <row r="3" spans="1:79" ht="11.25" customHeight="1">
      <c r="A3" s="980" t="s">
        <v>1376</v>
      </c>
      <c r="B3" s="981">
        <v>2001</v>
      </c>
      <c r="C3" s="981">
        <v>2023</v>
      </c>
      <c r="D3" s="981" t="s">
        <v>55</v>
      </c>
      <c r="E3" s="982" t="s">
        <v>1377</v>
      </c>
      <c r="F3" s="982" t="s">
        <v>1378</v>
      </c>
      <c r="G3" s="982" t="s">
        <v>1379</v>
      </c>
      <c r="H3" s="983" t="s">
        <v>1380</v>
      </c>
      <c r="I3" s="982" t="s">
        <v>101</v>
      </c>
      <c r="J3" s="982" t="s">
        <v>691</v>
      </c>
      <c r="K3" s="984" t="s">
        <v>1381</v>
      </c>
      <c r="L3" s="985">
        <f>IFERROR(MATCH(K3,OFFER_METHOD,0),0)</f>
        <v>0</v>
      </c>
      <c r="M3" s="984">
        <v>2</v>
      </c>
      <c r="N3" s="1063" t="s">
        <v>1382</v>
      </c>
      <c r="O3" s="983" t="s">
        <v>1383</v>
      </c>
      <c r="P3" s="986" t="s">
        <v>1384</v>
      </c>
      <c r="Q3" s="987" t="s">
        <v>1385</v>
      </c>
      <c r="R3" s="68" t="s">
        <v>661</v>
      </c>
      <c r="S3" s="68" t="s">
        <v>1386</v>
      </c>
      <c r="T3" s="988" t="s">
        <v>1387</v>
      </c>
      <c r="U3" s="985" t="s">
        <v>1388</v>
      </c>
      <c r="V3" s="989">
        <v>2</v>
      </c>
      <c r="W3" s="990"/>
      <c r="X3" s="990" t="s">
        <v>1389</v>
      </c>
      <c r="Y3" s="981" t="s">
        <v>1363</v>
      </c>
      <c r="Z3" s="991"/>
      <c r="AA3" s="981" t="s">
        <v>1390</v>
      </c>
      <c r="AB3" s="992" t="s">
        <v>1390</v>
      </c>
      <c r="AC3" s="981" t="s">
        <v>1391</v>
      </c>
      <c r="AD3" s="992" t="s">
        <v>1391</v>
      </c>
      <c r="AF3" s="983" t="s">
        <v>1388</v>
      </c>
      <c r="AH3" s="982" t="s">
        <v>1392</v>
      </c>
      <c r="AI3" s="982" t="s">
        <v>1393</v>
      </c>
      <c r="AK3" s="982" t="s">
        <v>1394</v>
      </c>
      <c r="AM3" s="982" t="s">
        <v>1395</v>
      </c>
      <c r="AP3" s="993" t="s">
        <v>1396</v>
      </c>
      <c r="AQ3" s="994" t="s">
        <v>1396</v>
      </c>
      <c r="AS3" s="981" t="s">
        <v>1397</v>
      </c>
      <c r="AU3" s="1024" t="s">
        <v>1398</v>
      </c>
      <c r="AW3" s="1024" t="s">
        <v>1399</v>
      </c>
      <c r="AX3" s="1024" t="s">
        <v>1399</v>
      </c>
      <c r="AZ3" s="1024" t="s">
        <v>1400</v>
      </c>
      <c r="BB3" s="1024" t="s">
        <v>1401</v>
      </c>
      <c r="BC3" s="1024" t="s">
        <v>1374</v>
      </c>
      <c r="BE3" s="1024">
        <v>2001</v>
      </c>
      <c r="BF3" s="1024" t="s">
        <v>1402</v>
      </c>
      <c r="BH3" s="973" t="s">
        <v>1403</v>
      </c>
      <c r="BJ3" s="973" t="s">
        <v>1404</v>
      </c>
      <c r="BL3" s="973" t="s">
        <v>1405</v>
      </c>
      <c r="BN3" s="973" t="s">
        <v>1406</v>
      </c>
      <c r="BR3" s="973" t="s">
        <v>1407</v>
      </c>
      <c r="BS3" s="1344"/>
      <c r="BT3" s="976"/>
      <c r="BU3" s="973" t="s">
        <v>1408</v>
      </c>
      <c r="BV3" s="976"/>
      <c r="BW3" s="1602"/>
      <c r="BX3" s="1604" t="s">
        <v>1409</v>
      </c>
      <c r="CA3" s="973" t="s">
        <v>1410</v>
      </c>
    </row>
    <row r="4" spans="1:79" ht="11.25" customHeight="1">
      <c r="A4" s="980" t="s">
        <v>1411</v>
      </c>
      <c r="B4" s="981">
        <v>2002</v>
      </c>
      <c r="C4" s="981">
        <v>2024</v>
      </c>
      <c r="E4" s="982" t="s">
        <v>1412</v>
      </c>
      <c r="F4" s="982" t="s">
        <v>1413</v>
      </c>
      <c r="H4" s="983" t="s">
        <v>1414</v>
      </c>
      <c r="I4" s="982" t="s">
        <v>88</v>
      </c>
      <c r="J4" s="982" t="s">
        <v>1415</v>
      </c>
      <c r="K4" s="984" t="s">
        <v>1416</v>
      </c>
      <c r="L4" s="985">
        <f>IFERROR(MATCH(K4,OFFER_METHOD,0),0)</f>
        <v>0</v>
      </c>
      <c r="M4" s="984">
        <v>3</v>
      </c>
      <c r="N4" s="1063" t="s">
        <v>1417</v>
      </c>
      <c r="O4" s="982" t="s">
        <v>1418</v>
      </c>
      <c r="Q4" s="987" t="s">
        <v>1419</v>
      </c>
      <c r="R4" s="68" t="s">
        <v>1420</v>
      </c>
      <c r="S4" s="68" t="s">
        <v>1421</v>
      </c>
      <c r="T4" s="988" t="s">
        <v>1422</v>
      </c>
      <c r="U4" s="985" t="s">
        <v>1423</v>
      </c>
      <c r="V4" s="989">
        <v>3</v>
      </c>
      <c r="W4" s="990"/>
      <c r="X4" s="990" t="s">
        <v>1424</v>
      </c>
      <c r="Y4" s="981" t="s">
        <v>1363</v>
      </c>
      <c r="Z4" s="996"/>
      <c r="AC4" s="981" t="s">
        <v>1425</v>
      </c>
      <c r="AD4" s="992" t="s">
        <v>1425</v>
      </c>
      <c r="AF4" s="983" t="s">
        <v>1423</v>
      </c>
      <c r="AH4" s="983" t="s">
        <v>1426</v>
      </c>
      <c r="AK4" s="982" t="s">
        <v>1427</v>
      </c>
      <c r="AM4" s="982" t="s">
        <v>1428</v>
      </c>
      <c r="AP4" s="993" t="s">
        <v>1389</v>
      </c>
      <c r="AQ4" s="994" t="s">
        <v>1389</v>
      </c>
      <c r="AS4" s="981" t="s">
        <v>1429</v>
      </c>
      <c r="AU4" s="1024" t="s">
        <v>1430</v>
      </c>
      <c r="AW4" s="1024" t="s">
        <v>1431</v>
      </c>
      <c r="AX4" s="1024" t="s">
        <v>1431</v>
      </c>
      <c r="AZ4" s="1024" t="s">
        <v>1432</v>
      </c>
      <c r="BB4" s="1024" t="s">
        <v>1433</v>
      </c>
      <c r="BC4" s="1024" t="s">
        <v>1434</v>
      </c>
      <c r="BE4" s="1024">
        <v>2002</v>
      </c>
      <c r="BF4" s="1024" t="s">
        <v>1435</v>
      </c>
      <c r="BH4" s="974" t="s">
        <v>1436</v>
      </c>
      <c r="BJ4" s="974" t="s">
        <v>1436</v>
      </c>
      <c r="BL4" s="974" t="s">
        <v>1436</v>
      </c>
      <c r="BN4" s="974" t="s">
        <v>1436</v>
      </c>
      <c r="BQ4" s="1348" t="s">
        <v>1437</v>
      </c>
      <c r="BR4" s="1060" t="s">
        <v>1438</v>
      </c>
      <c r="BS4" s="193"/>
      <c r="BT4" s="1348" t="s">
        <v>1439</v>
      </c>
      <c r="BU4" s="1060" t="s">
        <v>1440</v>
      </c>
      <c r="BV4" s="976"/>
      <c r="BW4" s="1609" t="s">
        <v>1441</v>
      </c>
      <c r="BX4" s="1603" t="s">
        <v>1442</v>
      </c>
      <c r="BZ4" s="1348" t="s">
        <v>1443</v>
      </c>
      <c r="CA4" s="1060" t="s">
        <v>1444</v>
      </c>
    </row>
    <row r="5" spans="1:79" ht="11.25" customHeight="1">
      <c r="A5" s="980" t="s">
        <v>1445</v>
      </c>
      <c r="B5" s="981">
        <v>2003</v>
      </c>
      <c r="C5" s="981">
        <v>2025</v>
      </c>
      <c r="E5" s="982" t="s">
        <v>1446</v>
      </c>
      <c r="F5" s="982" t="s">
        <v>1447</v>
      </c>
      <c r="H5" s="983" t="s">
        <v>1448</v>
      </c>
      <c r="I5" s="982" t="s">
        <v>89</v>
      </c>
      <c r="K5" s="984" t="s">
        <v>1449</v>
      </c>
      <c r="L5" s="985">
        <f>IFERROR(MATCH(K5,OFFER_METHOD,0),0)</f>
        <v>0</v>
      </c>
      <c r="M5" s="984">
        <v>4</v>
      </c>
      <c r="N5" s="997" t="s">
        <v>1450</v>
      </c>
      <c r="O5" s="982" t="s">
        <v>1451</v>
      </c>
      <c r="Q5" s="987" t="s">
        <v>1452</v>
      </c>
      <c r="R5" s="68" t="s">
        <v>659</v>
      </c>
      <c r="T5" s="983" t="s">
        <v>1453</v>
      </c>
      <c r="U5" s="985" t="s">
        <v>1454</v>
      </c>
      <c r="V5" s="989">
        <v>4</v>
      </c>
      <c r="W5" s="990"/>
      <c r="X5" s="990" t="s">
        <v>225</v>
      </c>
      <c r="Y5" s="981" t="s">
        <v>1455</v>
      </c>
      <c r="Z5" s="996">
        <v>1</v>
      </c>
      <c r="AF5" s="983" t="s">
        <v>1456</v>
      </c>
      <c r="AH5" s="982" t="s">
        <v>1457</v>
      </c>
      <c r="AK5" s="982" t="s">
        <v>1458</v>
      </c>
      <c r="AM5" s="982" t="s">
        <v>1459</v>
      </c>
      <c r="AP5" s="993" t="s">
        <v>225</v>
      </c>
      <c r="AQ5" s="994" t="s">
        <v>225</v>
      </c>
      <c r="AU5" s="1024" t="s">
        <v>1460</v>
      </c>
      <c r="AW5" s="1024" t="s">
        <v>1461</v>
      </c>
      <c r="AX5" s="1024" t="s">
        <v>1461</v>
      </c>
      <c r="AZ5" s="1024" t="s">
        <v>1462</v>
      </c>
      <c r="BB5" s="1024" t="s">
        <v>1463</v>
      </c>
      <c r="BC5" s="1024" t="s">
        <v>1464</v>
      </c>
      <c r="BE5" s="1024">
        <v>2003</v>
      </c>
      <c r="BF5" s="1024" t="s">
        <v>1465</v>
      </c>
      <c r="BH5" s="974" t="s">
        <v>1466</v>
      </c>
      <c r="BJ5" s="974" t="s">
        <v>1466</v>
      </c>
      <c r="BL5" s="974" t="s">
        <v>1466</v>
      </c>
      <c r="BN5" s="974" t="s">
        <v>1467</v>
      </c>
      <c r="BQ5" s="1202">
        <v>4213775</v>
      </c>
      <c r="BR5" s="974" t="s">
        <v>1362</v>
      </c>
      <c r="BS5" s="1345"/>
      <c r="BT5" s="1202">
        <v>64236871</v>
      </c>
      <c r="BU5" s="974" t="s">
        <v>274</v>
      </c>
      <c r="BV5" s="976"/>
      <c r="BW5" s="1607">
        <v>4213767</v>
      </c>
      <c r="BX5" s="1605" t="s">
        <v>1468</v>
      </c>
      <c r="BZ5" s="1202">
        <v>64237509</v>
      </c>
      <c r="CA5" s="1215" t="s">
        <v>1469</v>
      </c>
    </row>
    <row r="6" spans="1:79" ht="11.25" customHeight="1">
      <c r="A6" s="980" t="s">
        <v>1470</v>
      </c>
      <c r="B6" s="981">
        <v>2004</v>
      </c>
      <c r="C6" s="981">
        <v>2026</v>
      </c>
      <c r="E6" s="982" t="s">
        <v>1471</v>
      </c>
      <c r="F6" s="998"/>
      <c r="H6" s="983" t="s">
        <v>1472</v>
      </c>
      <c r="I6" s="982" t="s">
        <v>128</v>
      </c>
      <c r="J6" s="973" t="s">
        <v>1473</v>
      </c>
      <c r="L6" s="985">
        <f>SUM(kind_of_control_method_filter)</f>
        <v>0</v>
      </c>
      <c r="N6" s="997" t="s">
        <v>1474</v>
      </c>
      <c r="O6" s="982" t="s">
        <v>1475</v>
      </c>
      <c r="R6" s="68" t="s">
        <v>1357</v>
      </c>
      <c r="T6" s="983" t="s">
        <v>1476</v>
      </c>
      <c r="U6" s="985" t="s">
        <v>1456</v>
      </c>
      <c r="V6" s="989">
        <v>5</v>
      </c>
      <c r="W6" s="990"/>
      <c r="X6" s="981" t="s">
        <v>231</v>
      </c>
      <c r="Y6" s="981" t="s">
        <v>1477</v>
      </c>
      <c r="Z6" s="996"/>
      <c r="AA6" s="999"/>
      <c r="AH6" s="982" t="s">
        <v>1478</v>
      </c>
      <c r="AK6" s="982" t="s">
        <v>1479</v>
      </c>
      <c r="AM6" s="982" t="s">
        <v>1480</v>
      </c>
      <c r="AP6" s="993" t="s">
        <v>231</v>
      </c>
      <c r="AQ6" s="994" t="s">
        <v>231</v>
      </c>
      <c r="AU6" s="1024" t="s">
        <v>1481</v>
      </c>
      <c r="AW6" s="1024" t="s">
        <v>1482</v>
      </c>
      <c r="AX6" s="1024" t="s">
        <v>1482</v>
      </c>
      <c r="BB6" s="1024" t="s">
        <v>1483</v>
      </c>
      <c r="BC6" s="1024" t="s">
        <v>1464</v>
      </c>
      <c r="BE6" s="1024">
        <v>2004</v>
      </c>
      <c r="BF6" s="1024" t="s">
        <v>1484</v>
      </c>
      <c r="BH6" s="974" t="s">
        <v>1485</v>
      </c>
      <c r="BJ6" s="974" t="s">
        <v>1486</v>
      </c>
      <c r="BL6" s="974" t="s">
        <v>1486</v>
      </c>
      <c r="BN6" s="974" t="s">
        <v>1487</v>
      </c>
      <c r="BQ6" s="1202">
        <v>4213784</v>
      </c>
      <c r="BR6" s="1215" t="s">
        <v>1396</v>
      </c>
      <c r="BS6" s="1346"/>
      <c r="BT6" s="1202">
        <v>64236872</v>
      </c>
      <c r="BU6" s="974" t="s">
        <v>279</v>
      </c>
      <c r="BV6" s="976"/>
      <c r="BW6" s="1607">
        <v>4213768</v>
      </c>
      <c r="BX6" s="1605" t="s">
        <v>299</v>
      </c>
      <c r="BZ6" s="1202">
        <v>64237510</v>
      </c>
      <c r="CA6" s="974" t="s">
        <v>1488</v>
      </c>
    </row>
    <row r="7" spans="1:79" ht="11.25" customHeight="1">
      <c r="A7" s="980" t="s">
        <v>1489</v>
      </c>
      <c r="B7" s="981">
        <v>2005</v>
      </c>
      <c r="E7" s="982" t="s">
        <v>1490</v>
      </c>
      <c r="F7" s="998"/>
      <c r="H7" s="983" t="s">
        <v>1491</v>
      </c>
      <c r="I7" s="982" t="s">
        <v>90</v>
      </c>
      <c r="J7" s="982" t="s">
        <v>1492</v>
      </c>
      <c r="N7" s="1001" t="s">
        <v>1493</v>
      </c>
      <c r="O7" s="982" t="s">
        <v>1494</v>
      </c>
      <c r="U7" s="985" t="s">
        <v>55</v>
      </c>
      <c r="V7" s="299" t="s">
        <v>90</v>
      </c>
      <c r="W7" s="990"/>
      <c r="X7" s="981" t="s">
        <v>237</v>
      </c>
      <c r="Y7" s="981" t="s">
        <v>1455</v>
      </c>
      <c r="Z7" s="996"/>
      <c r="AA7" s="999"/>
      <c r="AH7" s="982" t="s">
        <v>1495</v>
      </c>
      <c r="AK7" s="982" t="s">
        <v>1496</v>
      </c>
      <c r="AM7" s="982" t="s">
        <v>1497</v>
      </c>
      <c r="AP7" s="993" t="s">
        <v>237</v>
      </c>
      <c r="AQ7" s="994" t="s">
        <v>237</v>
      </c>
      <c r="AU7" s="1024" t="s">
        <v>1498</v>
      </c>
      <c r="AW7" s="1024" t="s">
        <v>1499</v>
      </c>
      <c r="AX7" s="1024" t="s">
        <v>1499</v>
      </c>
      <c r="AZ7" s="973" t="s">
        <v>1500</v>
      </c>
      <c r="BB7" s="1024" t="s">
        <v>1501</v>
      </c>
      <c r="BC7" s="1024" t="s">
        <v>1464</v>
      </c>
      <c r="BE7" s="1024">
        <v>2005</v>
      </c>
      <c r="BF7" s="1024" t="s">
        <v>1502</v>
      </c>
      <c r="BH7" s="974" t="s">
        <v>1503</v>
      </c>
      <c r="BJ7" s="974" t="s">
        <v>1485</v>
      </c>
      <c r="BL7" s="974" t="s">
        <v>1485</v>
      </c>
      <c r="BN7" s="974" t="s">
        <v>1504</v>
      </c>
      <c r="BQ7" s="1202">
        <v>4213781</v>
      </c>
      <c r="BR7" s="974" t="s">
        <v>1389</v>
      </c>
      <c r="BS7" s="1345"/>
      <c r="BT7" s="1202">
        <v>64236873</v>
      </c>
      <c r="BU7" s="974" t="s">
        <v>284</v>
      </c>
      <c r="BV7" s="976"/>
      <c r="BW7" s="1607">
        <v>4213769</v>
      </c>
      <c r="BX7" s="1605" t="s">
        <v>1505</v>
      </c>
      <c r="BZ7" s="1202">
        <v>64237511</v>
      </c>
      <c r="CA7" s="974" t="s">
        <v>408</v>
      </c>
    </row>
    <row r="8" spans="1:79" ht="11.25" customHeight="1">
      <c r="A8" s="980" t="s">
        <v>1506</v>
      </c>
      <c r="B8" s="981">
        <v>2006</v>
      </c>
      <c r="E8" s="982" t="s">
        <v>1507</v>
      </c>
      <c r="F8" s="998"/>
      <c r="I8" s="982" t="s">
        <v>91</v>
      </c>
      <c r="J8" s="982" t="s">
        <v>1508</v>
      </c>
      <c r="N8" s="1064" t="s">
        <v>1509</v>
      </c>
      <c r="O8" s="982" t="s">
        <v>1510</v>
      </c>
      <c r="V8" s="299" t="s">
        <v>91</v>
      </c>
      <c r="W8" s="990"/>
      <c r="X8" s="981" t="s">
        <v>243</v>
      </c>
      <c r="Y8" s="981" t="s">
        <v>1455</v>
      </c>
      <c r="Z8" s="996"/>
      <c r="AA8" s="999"/>
      <c r="AK8" s="982" t="s">
        <v>1511</v>
      </c>
      <c r="AP8" s="993" t="s">
        <v>243</v>
      </c>
      <c r="AQ8" s="994" t="s">
        <v>243</v>
      </c>
      <c r="AU8" s="1024" t="s">
        <v>1512</v>
      </c>
      <c r="AW8" s="1024" t="s">
        <v>1513</v>
      </c>
      <c r="AX8" s="1024" t="s">
        <v>1513</v>
      </c>
      <c r="AZ8" s="1024" t="s">
        <v>1514</v>
      </c>
      <c r="BB8" s="1024" t="s">
        <v>1515</v>
      </c>
      <c r="BC8" s="1024" t="s">
        <v>1464</v>
      </c>
      <c r="BE8" s="1024">
        <v>2006</v>
      </c>
      <c r="BF8" s="1024" t="s">
        <v>1516</v>
      </c>
      <c r="BH8" s="974" t="s">
        <v>1517</v>
      </c>
      <c r="BJ8" s="974" t="s">
        <v>1518</v>
      </c>
      <c r="BL8" s="974" t="s">
        <v>1518</v>
      </c>
      <c r="BN8" s="974" t="s">
        <v>1519</v>
      </c>
      <c r="BQ8" s="1202">
        <v>4213776</v>
      </c>
      <c r="BR8" s="974" t="s">
        <v>225</v>
      </c>
      <c r="BS8" s="1345"/>
      <c r="BT8" s="1202">
        <v>64236874</v>
      </c>
      <c r="BU8" s="1215" t="s">
        <v>1520</v>
      </c>
      <c r="BV8" s="976"/>
      <c r="BW8" s="1607">
        <v>4213770</v>
      </c>
      <c r="BX8" s="1608" t="s">
        <v>1521</v>
      </c>
      <c r="BZ8" s="1202">
        <v>64237512</v>
      </c>
      <c r="CA8" s="974" t="s">
        <v>309</v>
      </c>
    </row>
    <row r="9" spans="1:79" ht="11.25" customHeight="1">
      <c r="A9" s="980" t="s">
        <v>1522</v>
      </c>
      <c r="B9" s="981">
        <v>2007</v>
      </c>
      <c r="E9" s="982" t="s">
        <v>1523</v>
      </c>
      <c r="F9" s="998"/>
      <c r="G9" s="973" t="s">
        <v>1524</v>
      </c>
      <c r="H9" s="973" t="s">
        <v>1525</v>
      </c>
      <c r="I9" s="982" t="s">
        <v>138</v>
      </c>
      <c r="O9" s="982" t="s">
        <v>1526</v>
      </c>
      <c r="V9" s="299" t="s">
        <v>138</v>
      </c>
      <c r="W9" s="990"/>
      <c r="X9" s="981" t="s">
        <v>249</v>
      </c>
      <c r="Y9" s="981" t="s">
        <v>1363</v>
      </c>
      <c r="Z9" s="996">
        <v>1</v>
      </c>
      <c r="AA9" s="999"/>
      <c r="AK9" s="982" t="s">
        <v>1527</v>
      </c>
      <c r="AP9" s="993" t="s">
        <v>1528</v>
      </c>
      <c r="AQ9" s="994" t="s">
        <v>1528</v>
      </c>
      <c r="AW9" s="1024" t="s">
        <v>1529</v>
      </c>
      <c r="AX9" s="1024" t="s">
        <v>1529</v>
      </c>
      <c r="AZ9" s="1024" t="s">
        <v>1530</v>
      </c>
      <c r="BB9" s="1024" t="s">
        <v>1531</v>
      </c>
      <c r="BC9" s="1024" t="s">
        <v>1464</v>
      </c>
      <c r="BE9" s="1024">
        <v>2007</v>
      </c>
      <c r="BF9" s="1024" t="s">
        <v>1532</v>
      </c>
      <c r="BH9" s="974" t="s">
        <v>1533</v>
      </c>
      <c r="BJ9" s="974" t="s">
        <v>1534</v>
      </c>
      <c r="BL9" s="974" t="s">
        <v>1534</v>
      </c>
      <c r="BN9" s="974" t="s">
        <v>1535</v>
      </c>
      <c r="BQ9" s="1202">
        <v>4213777</v>
      </c>
      <c r="BR9" s="974" t="s">
        <v>231</v>
      </c>
      <c r="BS9" s="1345"/>
      <c r="BT9" s="1202">
        <v>64236875</v>
      </c>
      <c r="BU9" s="974" t="s">
        <v>289</v>
      </c>
      <c r="BV9" s="976"/>
      <c r="BW9" s="1602"/>
      <c r="BX9" s="1602"/>
    </row>
    <row r="10" spans="1:79" ht="11.25" customHeight="1">
      <c r="A10" s="980" t="s">
        <v>1536</v>
      </c>
      <c r="B10" s="981">
        <v>2008</v>
      </c>
      <c r="E10" s="982" t="s">
        <v>1537</v>
      </c>
      <c r="F10" s="998"/>
      <c r="G10" s="982" t="s">
        <v>1538</v>
      </c>
      <c r="H10" s="982" t="s">
        <v>1539</v>
      </c>
      <c r="I10" s="982" t="s">
        <v>151</v>
      </c>
      <c r="J10" s="973" t="s">
        <v>1540</v>
      </c>
      <c r="K10" s="973" t="s">
        <v>1541</v>
      </c>
      <c r="O10" s="982" t="s">
        <v>1542</v>
      </c>
      <c r="V10" s="300" t="s">
        <v>151</v>
      </c>
      <c r="W10" s="1002"/>
      <c r="X10" s="1002" t="s">
        <v>1543</v>
      </c>
      <c r="Y10" s="1003" t="s">
        <v>1544</v>
      </c>
      <c r="Z10" s="996"/>
      <c r="AP10" s="993" t="s">
        <v>1543</v>
      </c>
      <c r="AQ10" s="994" t="s">
        <v>1543</v>
      </c>
      <c r="AW10" s="1024" t="s">
        <v>1545</v>
      </c>
      <c r="AX10" s="1024" t="s">
        <v>1545</v>
      </c>
      <c r="AZ10" s="1024" t="s">
        <v>1546</v>
      </c>
      <c r="BB10" s="1024" t="s">
        <v>1547</v>
      </c>
      <c r="BC10" s="1024" t="s">
        <v>1464</v>
      </c>
      <c r="BE10" s="1024">
        <v>2008</v>
      </c>
      <c r="BF10" s="1024" t="s">
        <v>1548</v>
      </c>
      <c r="BH10" s="974" t="s">
        <v>1549</v>
      </c>
      <c r="BJ10" s="974" t="s">
        <v>1550</v>
      </c>
      <c r="BL10" s="974" t="s">
        <v>1550</v>
      </c>
      <c r="BN10" s="974" t="s">
        <v>1551</v>
      </c>
      <c r="BQ10" s="1202">
        <v>4213778</v>
      </c>
      <c r="BR10" s="974" t="s">
        <v>237</v>
      </c>
      <c r="BS10" s="1345"/>
      <c r="BT10" s="1202">
        <v>64236876</v>
      </c>
      <c r="BU10" s="974" t="s">
        <v>269</v>
      </c>
      <c r="BV10" s="976"/>
      <c r="BW10" s="1602"/>
      <c r="BX10" s="1602"/>
    </row>
    <row r="11" spans="1:79" ht="11.25" customHeight="1">
      <c r="A11" s="980" t="s">
        <v>1552</v>
      </c>
      <c r="B11" s="981">
        <v>2009</v>
      </c>
      <c r="E11" s="982" t="s">
        <v>1553</v>
      </c>
      <c r="F11" s="998"/>
      <c r="G11" s="982" t="s">
        <v>1554</v>
      </c>
      <c r="H11" s="982" t="s">
        <v>1555</v>
      </c>
      <c r="I11" s="982" t="s">
        <v>157</v>
      </c>
      <c r="J11" s="983" t="s">
        <v>1556</v>
      </c>
      <c r="K11" s="1004" t="s">
        <v>1557</v>
      </c>
      <c r="O11" s="983" t="s">
        <v>1558</v>
      </c>
      <c r="V11" s="299" t="s">
        <v>157</v>
      </c>
      <c r="W11" s="194"/>
      <c r="X11" s="990" t="s">
        <v>1528</v>
      </c>
      <c r="Y11" s="981" t="s">
        <v>1559</v>
      </c>
      <c r="Z11" s="996"/>
      <c r="AP11" s="993" t="s">
        <v>249</v>
      </c>
      <c r="AQ11" s="995" t="s">
        <v>249</v>
      </c>
      <c r="AW11" s="1024" t="s">
        <v>1560</v>
      </c>
      <c r="AX11" s="1024" t="s">
        <v>1560</v>
      </c>
      <c r="AZ11" s="1024" t="s">
        <v>1561</v>
      </c>
      <c r="BB11" s="1024" t="s">
        <v>1562</v>
      </c>
      <c r="BC11" s="1024" t="s">
        <v>1464</v>
      </c>
      <c r="BE11" s="1024">
        <v>2009</v>
      </c>
      <c r="BF11" s="1024" t="s">
        <v>1563</v>
      </c>
      <c r="BH11" s="974" t="s">
        <v>1564</v>
      </c>
      <c r="BJ11" s="974" t="s">
        <v>1533</v>
      </c>
      <c r="BL11" s="974" t="s">
        <v>1533</v>
      </c>
      <c r="BN11" s="974" t="s">
        <v>1565</v>
      </c>
      <c r="BQ11" s="1202">
        <v>4213780</v>
      </c>
      <c r="BR11" s="974" t="s">
        <v>243</v>
      </c>
      <c r="BS11" s="1345"/>
      <c r="BW11" s="1602"/>
      <c r="BX11" s="1602"/>
    </row>
    <row r="12" spans="1:79" ht="11.25" customHeight="1">
      <c r="A12" s="980" t="s">
        <v>1566</v>
      </c>
      <c r="B12" s="981">
        <v>2010</v>
      </c>
      <c r="E12" s="982" t="s">
        <v>1567</v>
      </c>
      <c r="F12" s="998"/>
      <c r="G12" s="982" t="s">
        <v>1555</v>
      </c>
      <c r="I12" s="982" t="s">
        <v>162</v>
      </c>
      <c r="J12" s="983" t="s">
        <v>1568</v>
      </c>
      <c r="K12" s="1004" t="s">
        <v>1569</v>
      </c>
      <c r="O12" s="983" t="s">
        <v>1357</v>
      </c>
      <c r="V12" s="299" t="s">
        <v>162</v>
      </c>
      <c r="W12" s="995"/>
      <c r="X12" s="990" t="s">
        <v>1570</v>
      </c>
      <c r="Y12" s="981" t="s">
        <v>1363</v>
      </c>
      <c r="AP12" s="993"/>
      <c r="AW12" s="1024" t="s">
        <v>157</v>
      </c>
      <c r="AX12" s="1024" t="s">
        <v>157</v>
      </c>
      <c r="AZ12" s="1024" t="s">
        <v>1571</v>
      </c>
      <c r="BB12" s="1024" t="s">
        <v>1572</v>
      </c>
      <c r="BC12" s="1024" t="s">
        <v>1464</v>
      </c>
      <c r="BE12" s="1024">
        <v>2010</v>
      </c>
      <c r="BF12" s="1024" t="s">
        <v>1573</v>
      </c>
      <c r="BH12" s="974" t="s">
        <v>1574</v>
      </c>
      <c r="BJ12" s="974" t="s">
        <v>1575</v>
      </c>
      <c r="BL12" s="974" t="s">
        <v>1575</v>
      </c>
      <c r="BN12" s="974" t="s">
        <v>1576</v>
      </c>
      <c r="BQ12" s="1202">
        <v>4213779</v>
      </c>
      <c r="BR12" s="974" t="s">
        <v>1528</v>
      </c>
      <c r="BS12" s="1345"/>
      <c r="BT12" s="976"/>
      <c r="BU12" s="976"/>
      <c r="BV12" s="976"/>
      <c r="BW12" s="1602"/>
      <c r="BX12" s="1602"/>
    </row>
    <row r="13" spans="1:79" ht="11.25" customHeight="1">
      <c r="A13" s="980" t="s">
        <v>1577</v>
      </c>
      <c r="B13" s="981">
        <v>2011</v>
      </c>
      <c r="E13" s="982" t="s">
        <v>1578</v>
      </c>
      <c r="F13" s="998"/>
      <c r="I13" s="982" t="s">
        <v>210</v>
      </c>
      <c r="K13" s="1004" t="s">
        <v>1527</v>
      </c>
      <c r="V13" s="299" t="s">
        <v>210</v>
      </c>
      <c r="W13" s="995"/>
      <c r="X13" s="995"/>
      <c r="Y13" s="995"/>
      <c r="AW13" s="1024" t="s">
        <v>162</v>
      </c>
      <c r="AX13" s="1024" t="s">
        <v>162</v>
      </c>
      <c r="BB13" s="1024" t="s">
        <v>1579</v>
      </c>
      <c r="BC13" s="1024" t="s">
        <v>1580</v>
      </c>
      <c r="BE13" s="1024">
        <v>2011</v>
      </c>
      <c r="BF13" s="1024" t="s">
        <v>1581</v>
      </c>
      <c r="BH13" s="974" t="s">
        <v>1582</v>
      </c>
      <c r="BJ13" s="974" t="s">
        <v>1564</v>
      </c>
      <c r="BL13" s="974" t="s">
        <v>1564</v>
      </c>
      <c r="BN13" s="974" t="s">
        <v>1583</v>
      </c>
      <c r="BQ13" s="1202">
        <v>4213783</v>
      </c>
      <c r="BR13" s="974" t="s">
        <v>1543</v>
      </c>
      <c r="BS13" s="1345"/>
      <c r="BT13" s="976"/>
      <c r="BU13" s="976"/>
      <c r="BV13" s="976"/>
      <c r="BW13" s="1606"/>
      <c r="BX13" s="1602"/>
    </row>
    <row r="14" spans="1:79" ht="11.25" customHeight="1">
      <c r="A14" s="980" t="s">
        <v>1584</v>
      </c>
      <c r="B14" s="981">
        <v>2012</v>
      </c>
      <c r="I14" s="982" t="s">
        <v>211</v>
      </c>
      <c r="J14" s="973" t="s">
        <v>1585</v>
      </c>
      <c r="N14" s="973" t="s">
        <v>1586</v>
      </c>
      <c r="V14" s="989">
        <v>13</v>
      </c>
      <c r="W14" s="990"/>
      <c r="X14" s="990" t="s">
        <v>1396</v>
      </c>
      <c r="Y14" s="981" t="s">
        <v>1363</v>
      </c>
      <c r="AW14" s="1024" t="s">
        <v>210</v>
      </c>
      <c r="AX14" s="1024" t="s">
        <v>210</v>
      </c>
      <c r="AZ14" s="973" t="s">
        <v>1587</v>
      </c>
      <c r="BB14" s="1024" t="s">
        <v>1588</v>
      </c>
      <c r="BC14" s="1024" t="s">
        <v>1580</v>
      </c>
      <c r="BE14" s="1024">
        <v>2012</v>
      </c>
      <c r="BH14" s="974" t="s">
        <v>1504</v>
      </c>
      <c r="BJ14" s="1122" t="s">
        <v>1589</v>
      </c>
      <c r="BL14" s="1122" t="s">
        <v>1589</v>
      </c>
      <c r="BN14" s="974" t="s">
        <v>1590</v>
      </c>
      <c r="BQ14" s="1202">
        <v>4213782</v>
      </c>
      <c r="BR14" s="974" t="s">
        <v>249</v>
      </c>
      <c r="BS14" s="1345"/>
      <c r="BT14" s="976"/>
      <c r="BU14" s="976"/>
      <c r="BV14" s="976"/>
      <c r="BW14" s="1606"/>
      <c r="BX14" s="1602"/>
    </row>
    <row r="15" spans="1:79" ht="19.5" customHeight="1">
      <c r="A15" s="980" t="s">
        <v>1591</v>
      </c>
      <c r="B15" s="981">
        <v>2013</v>
      </c>
      <c r="E15" s="1610" t="s">
        <v>1592</v>
      </c>
      <c r="G15" s="973" t="s">
        <v>1593</v>
      </c>
      <c r="H15" s="973" t="s">
        <v>1594</v>
      </c>
      <c r="I15" s="984" t="s">
        <v>212</v>
      </c>
      <c r="J15" s="995" t="s">
        <v>718</v>
      </c>
      <c r="N15" s="1059" t="s">
        <v>1595</v>
      </c>
      <c r="X15" s="993"/>
      <c r="AW15" s="1024" t="s">
        <v>211</v>
      </c>
      <c r="AX15" s="1024" t="s">
        <v>211</v>
      </c>
      <c r="AZ15" s="1024" t="s">
        <v>1514</v>
      </c>
      <c r="BB15" s="1024" t="s">
        <v>1596</v>
      </c>
      <c r="BC15" s="1024" t="s">
        <v>1580</v>
      </c>
      <c r="BE15" s="1024">
        <v>2013</v>
      </c>
      <c r="BH15" s="974" t="s">
        <v>1519</v>
      </c>
      <c r="BJ15" s="1122" t="s">
        <v>1597</v>
      </c>
      <c r="BL15" s="1122" t="s">
        <v>1597</v>
      </c>
      <c r="BN15" s="974" t="s">
        <v>1598</v>
      </c>
      <c r="BR15" s="976"/>
      <c r="BS15" s="1347"/>
      <c r="BT15" s="976"/>
      <c r="BU15" s="976"/>
      <c r="BV15" s="976"/>
      <c r="BW15" s="1606"/>
      <c r="BX15" s="1602"/>
    </row>
    <row r="16" spans="1:79" ht="21" customHeight="1">
      <c r="A16" s="1782" t="s">
        <v>1599</v>
      </c>
      <c r="B16" s="981">
        <v>2014</v>
      </c>
      <c r="E16" s="1611" t="s">
        <v>1600</v>
      </c>
      <c r="G16" s="982" t="s">
        <v>1601</v>
      </c>
      <c r="H16" s="982" t="s">
        <v>1602</v>
      </c>
      <c r="I16" s="984" t="s">
        <v>383</v>
      </c>
      <c r="J16" s="995" t="s">
        <v>691</v>
      </c>
      <c r="N16" s="1059" t="s">
        <v>1603</v>
      </c>
      <c r="AW16" s="1024" t="s">
        <v>212</v>
      </c>
      <c r="AX16" s="1024" t="s">
        <v>212</v>
      </c>
      <c r="AZ16" s="1024" t="s">
        <v>1530</v>
      </c>
      <c r="BB16" s="1024" t="s">
        <v>1604</v>
      </c>
      <c r="BC16" s="1024" t="s">
        <v>1580</v>
      </c>
      <c r="BE16" s="1024">
        <v>2014</v>
      </c>
      <c r="BH16" s="974" t="s">
        <v>1535</v>
      </c>
      <c r="BJ16" s="1122" t="s">
        <v>1605</v>
      </c>
      <c r="BL16" s="1122" t="s">
        <v>1605</v>
      </c>
      <c r="BN16" s="974" t="s">
        <v>1606</v>
      </c>
      <c r="BR16" s="976"/>
      <c r="BS16" s="1347"/>
      <c r="BT16" s="976"/>
      <c r="BU16" s="976"/>
      <c r="BV16" s="976"/>
      <c r="BW16" s="1606"/>
      <c r="BX16" s="1602"/>
    </row>
    <row r="17" spans="1:82" ht="21" customHeight="1">
      <c r="A17" s="980" t="s">
        <v>1607</v>
      </c>
      <c r="B17" s="981">
        <v>2015</v>
      </c>
      <c r="G17" s="982" t="s">
        <v>1555</v>
      </c>
      <c r="H17" s="982" t="s">
        <v>1555</v>
      </c>
      <c r="I17" s="982" t="s">
        <v>389</v>
      </c>
      <c r="N17" s="1059" t="s">
        <v>1608</v>
      </c>
      <c r="X17" s="993"/>
      <c r="AW17" s="1024" t="s">
        <v>383</v>
      </c>
      <c r="AX17" s="1024" t="s">
        <v>383</v>
      </c>
      <c r="AZ17" s="1024" t="s">
        <v>1609</v>
      </c>
      <c r="BB17" s="1024" t="s">
        <v>1610</v>
      </c>
      <c r="BC17" s="1024" t="s">
        <v>1464</v>
      </c>
      <c r="BE17" s="1024">
        <v>2015</v>
      </c>
      <c r="BH17" s="974" t="s">
        <v>1551</v>
      </c>
      <c r="BJ17" s="1122" t="s">
        <v>1611</v>
      </c>
      <c r="BL17" s="1122" t="s">
        <v>1611</v>
      </c>
      <c r="BN17" s="974" t="s">
        <v>1612</v>
      </c>
      <c r="BR17" s="973" t="s">
        <v>1407</v>
      </c>
      <c r="BS17" s="1344"/>
      <c r="BU17" s="973" t="s">
        <v>1613</v>
      </c>
      <c r="BV17" s="976"/>
      <c r="BW17" s="1602"/>
      <c r="BX17" s="1604" t="s">
        <v>1614</v>
      </c>
      <c r="CA17" s="973" t="s">
        <v>1615</v>
      </c>
      <c r="CD17" s="973" t="s">
        <v>1616</v>
      </c>
    </row>
    <row r="18" spans="1:82" ht="21" customHeight="1">
      <c r="A18" s="980" t="s">
        <v>1617</v>
      </c>
      <c r="B18" s="981">
        <v>2016</v>
      </c>
      <c r="I18" s="982" t="s">
        <v>395</v>
      </c>
      <c r="N18" s="1059" t="s">
        <v>1618</v>
      </c>
      <c r="X18" s="993"/>
      <c r="AW18" s="1024" t="s">
        <v>389</v>
      </c>
      <c r="AX18" s="1024" t="s">
        <v>389</v>
      </c>
      <c r="BB18" s="1024" t="s">
        <v>1619</v>
      </c>
      <c r="BC18" s="1024" t="s">
        <v>1464</v>
      </c>
      <c r="BE18" s="1024">
        <v>2016</v>
      </c>
      <c r="BH18" s="974" t="s">
        <v>1565</v>
      </c>
      <c r="BJ18" s="1122" t="s">
        <v>1620</v>
      </c>
      <c r="BL18" s="1122" t="s">
        <v>1620</v>
      </c>
      <c r="BN18" s="974" t="s">
        <v>1621</v>
      </c>
      <c r="BQ18" s="1348" t="s">
        <v>1437</v>
      </c>
      <c r="BR18" s="1060" t="s">
        <v>1438</v>
      </c>
      <c r="BS18" s="193"/>
      <c r="BT18" s="1348" t="s">
        <v>1622</v>
      </c>
      <c r="BU18" s="1060" t="s">
        <v>1623</v>
      </c>
      <c r="BV18" s="976"/>
      <c r="BW18" s="1609" t="s">
        <v>1624</v>
      </c>
      <c r="BX18" s="1603" t="s">
        <v>1625</v>
      </c>
      <c r="BZ18" s="1348" t="s">
        <v>1626</v>
      </c>
      <c r="CA18" s="1060" t="s">
        <v>1627</v>
      </c>
      <c r="CC18" s="1348" t="s">
        <v>1628</v>
      </c>
      <c r="CD18" s="1060" t="s">
        <v>1629</v>
      </c>
    </row>
    <row r="19" spans="1:82" ht="21" customHeight="1">
      <c r="A19" s="1782" t="s">
        <v>1630</v>
      </c>
      <c r="B19" s="981">
        <v>2017</v>
      </c>
      <c r="I19" s="982" t="s">
        <v>401</v>
      </c>
      <c r="N19" s="1059" t="s">
        <v>1631</v>
      </c>
      <c r="X19" s="993"/>
      <c r="AW19" s="1024" t="s">
        <v>395</v>
      </c>
      <c r="AX19" s="1024" t="s">
        <v>395</v>
      </c>
      <c r="AZ19" s="973" t="s">
        <v>1632</v>
      </c>
      <c r="BB19" s="1024" t="s">
        <v>1633</v>
      </c>
      <c r="BC19" s="1024" t="s">
        <v>1464</v>
      </c>
      <c r="BE19" s="1024">
        <v>2017</v>
      </c>
      <c r="BH19" s="974" t="s">
        <v>1634</v>
      </c>
      <c r="BJ19" s="1122" t="s">
        <v>1635</v>
      </c>
      <c r="BL19" s="1122" t="s">
        <v>1635</v>
      </c>
      <c r="BQ19" s="1202">
        <v>4190064</v>
      </c>
      <c r="BR19" s="974" t="s">
        <v>1636</v>
      </c>
      <c r="BS19" s="1345"/>
      <c r="BT19" s="1202">
        <v>4189671</v>
      </c>
      <c r="BU19" s="974" t="s">
        <v>1637</v>
      </c>
      <c r="BV19" s="976"/>
      <c r="BW19" s="1607">
        <v>4189706</v>
      </c>
      <c r="BX19" s="1605" t="s">
        <v>1638</v>
      </c>
      <c r="BZ19" s="1202">
        <v>4189714</v>
      </c>
      <c r="CA19" s="974" t="s">
        <v>1639</v>
      </c>
      <c r="CC19" s="1202">
        <v>4189708</v>
      </c>
      <c r="CD19" s="974" t="s">
        <v>1640</v>
      </c>
    </row>
    <row r="20" spans="1:82" ht="21" customHeight="1">
      <c r="A20" s="980" t="s">
        <v>1641</v>
      </c>
      <c r="B20" s="981">
        <v>2018</v>
      </c>
      <c r="I20" s="982" t="s">
        <v>1642</v>
      </c>
      <c r="N20" s="1059" t="s">
        <v>1643</v>
      </c>
      <c r="AW20" s="1024" t="s">
        <v>401</v>
      </c>
      <c r="AX20" s="1024" t="s">
        <v>401</v>
      </c>
      <c r="AZ20" s="1024" t="s">
        <v>1644</v>
      </c>
      <c r="BB20" s="1024" t="s">
        <v>1645</v>
      </c>
      <c r="BC20" s="1024" t="s">
        <v>1580</v>
      </c>
      <c r="BE20" s="1024">
        <v>2018</v>
      </c>
      <c r="BH20" s="974" t="s">
        <v>1576</v>
      </c>
      <c r="BJ20" s="974" t="s">
        <v>1504</v>
      </c>
      <c r="BL20" s="974" t="s">
        <v>1504</v>
      </c>
      <c r="BQ20" s="1202">
        <v>4190065</v>
      </c>
      <c r="BR20" s="974" t="s">
        <v>1646</v>
      </c>
      <c r="BS20" s="1345"/>
      <c r="BT20" s="1202">
        <v>4189672</v>
      </c>
      <c r="BU20" s="974" t="s">
        <v>1647</v>
      </c>
      <c r="BV20" s="976"/>
      <c r="BW20" s="1607">
        <v>4189705</v>
      </c>
      <c r="BX20" s="1605" t="s">
        <v>1648</v>
      </c>
      <c r="BZ20" s="1202">
        <v>4189713</v>
      </c>
      <c r="CA20" s="974" t="s">
        <v>1648</v>
      </c>
      <c r="CC20" s="1202">
        <v>4189709</v>
      </c>
      <c r="CD20" s="974" t="s">
        <v>1649</v>
      </c>
    </row>
    <row r="21" spans="1:82" ht="21" customHeight="1">
      <c r="A21" s="980" t="s">
        <v>1650</v>
      </c>
      <c r="B21" s="981">
        <v>2019</v>
      </c>
      <c r="I21" s="982" t="s">
        <v>1651</v>
      </c>
      <c r="N21" s="1059" t="s">
        <v>1652</v>
      </c>
      <c r="AW21" s="1024" t="s">
        <v>1642</v>
      </c>
      <c r="AX21" s="1024" t="s">
        <v>1642</v>
      </c>
      <c r="AZ21" s="1024" t="s">
        <v>1653</v>
      </c>
      <c r="BB21" s="1024" t="s">
        <v>1654</v>
      </c>
      <c r="BC21" s="1024" t="s">
        <v>1464</v>
      </c>
      <c r="BE21" s="1024">
        <v>2019</v>
      </c>
      <c r="BH21" s="974" t="s">
        <v>1583</v>
      </c>
      <c r="BJ21" s="974" t="s">
        <v>1519</v>
      </c>
      <c r="BL21" s="974" t="s">
        <v>1519</v>
      </c>
      <c r="BQ21" s="1202">
        <v>4190066</v>
      </c>
      <c r="BR21" s="974" t="s">
        <v>1655</v>
      </c>
      <c r="BS21" s="1345"/>
      <c r="BT21" s="1202">
        <v>4189673</v>
      </c>
      <c r="BU21" s="974" t="s">
        <v>1656</v>
      </c>
      <c r="BV21" s="976"/>
      <c r="BW21" s="1607">
        <v>4189707</v>
      </c>
      <c r="BX21" s="1605" t="s">
        <v>1657</v>
      </c>
      <c r="BZ21" s="1202">
        <v>4189712</v>
      </c>
      <c r="CA21" s="974" t="s">
        <v>1658</v>
      </c>
      <c r="CC21" s="1202">
        <v>4189710</v>
      </c>
      <c r="CD21" s="974" t="s">
        <v>1659</v>
      </c>
    </row>
    <row r="22" spans="1:82" ht="21" customHeight="1">
      <c r="A22" s="980" t="s">
        <v>1660</v>
      </c>
      <c r="B22" s="981">
        <v>2020</v>
      </c>
      <c r="N22" s="1059" t="s">
        <v>1661</v>
      </c>
      <c r="AW22" s="1024" t="s">
        <v>1651</v>
      </c>
      <c r="AX22" s="1024" t="s">
        <v>1651</v>
      </c>
      <c r="AZ22" s="1024" t="s">
        <v>1662</v>
      </c>
      <c r="BB22" s="1024" t="s">
        <v>1663</v>
      </c>
      <c r="BC22" s="1024" t="s">
        <v>1464</v>
      </c>
      <c r="BE22" s="1024">
        <v>2020</v>
      </c>
      <c r="BH22" s="974" t="s">
        <v>1590</v>
      </c>
      <c r="BJ22" s="974" t="s">
        <v>1535</v>
      </c>
      <c r="BL22" s="974" t="s">
        <v>1535</v>
      </c>
      <c r="BQ22" s="1202">
        <v>4190067</v>
      </c>
      <c r="BR22" s="974" t="s">
        <v>1664</v>
      </c>
      <c r="BS22" s="1345"/>
      <c r="BT22" s="1202">
        <v>4189674</v>
      </c>
      <c r="BU22" s="974" t="s">
        <v>1665</v>
      </c>
      <c r="BV22" s="976"/>
      <c r="BW22" s="976"/>
      <c r="CC22" s="1202">
        <v>4189711</v>
      </c>
      <c r="CD22" s="974" t="s">
        <v>432</v>
      </c>
    </row>
    <row r="23" spans="1:82" ht="21" customHeight="1">
      <c r="A23" s="980" t="s">
        <v>1666</v>
      </c>
      <c r="B23" s="981">
        <v>2021</v>
      </c>
      <c r="AW23" s="1024" t="s">
        <v>1667</v>
      </c>
      <c r="AX23" s="1024" t="s">
        <v>1667</v>
      </c>
      <c r="AZ23" s="1024" t="s">
        <v>1668</v>
      </c>
      <c r="BB23" s="1024" t="s">
        <v>1669</v>
      </c>
      <c r="BC23" s="1024" t="s">
        <v>1374</v>
      </c>
      <c r="BE23" s="1024">
        <v>2021</v>
      </c>
      <c r="BH23" s="974" t="s">
        <v>1598</v>
      </c>
      <c r="BJ23" s="974" t="s">
        <v>1551</v>
      </c>
      <c r="BL23" s="974" t="s">
        <v>1551</v>
      </c>
      <c r="BQ23" s="1202">
        <v>4190068</v>
      </c>
      <c r="BR23" s="974" t="s">
        <v>1670</v>
      </c>
      <c r="BS23" s="1345"/>
      <c r="BT23" s="1202">
        <v>4189675</v>
      </c>
      <c r="BU23" s="974" t="s">
        <v>1671</v>
      </c>
      <c r="BV23" s="976"/>
      <c r="BW23" s="976"/>
      <c r="CC23" s="1202">
        <v>5110778</v>
      </c>
      <c r="CD23" s="974" t="s">
        <v>1672</v>
      </c>
    </row>
    <row r="24" spans="1:82" ht="21" customHeight="1">
      <c r="A24" s="980" t="s">
        <v>1673</v>
      </c>
      <c r="B24" s="981">
        <v>2022</v>
      </c>
      <c r="AW24" s="1024" t="s">
        <v>1674</v>
      </c>
      <c r="AX24" s="1024" t="s">
        <v>1674</v>
      </c>
      <c r="AZ24" s="1024" t="s">
        <v>1675</v>
      </c>
      <c r="BB24" s="1024" t="s">
        <v>1676</v>
      </c>
      <c r="BC24" s="1024" t="s">
        <v>1677</v>
      </c>
      <c r="BE24" s="1024">
        <v>2022</v>
      </c>
      <c r="BH24" s="974" t="s">
        <v>1606</v>
      </c>
      <c r="BJ24" s="974" t="s">
        <v>1565</v>
      </c>
      <c r="BL24" s="974" t="s">
        <v>1565</v>
      </c>
      <c r="BQ24" s="1202">
        <v>4190069</v>
      </c>
      <c r="BR24" s="974" t="s">
        <v>1678</v>
      </c>
      <c r="BS24" s="1345"/>
      <c r="BT24" s="1202">
        <v>4189676</v>
      </c>
      <c r="BU24" s="974" t="s">
        <v>1679</v>
      </c>
      <c r="BV24" s="976"/>
      <c r="BW24" s="976"/>
      <c r="CC24" s="1202">
        <v>25575374</v>
      </c>
      <c r="CD24" s="974" t="s">
        <v>1680</v>
      </c>
    </row>
    <row r="25" spans="1:82" ht="11.25" customHeight="1">
      <c r="A25" s="980" t="s">
        <v>1681</v>
      </c>
      <c r="B25" s="981">
        <v>2023</v>
      </c>
      <c r="AW25" s="1024" t="s">
        <v>1682</v>
      </c>
      <c r="AX25" s="1024" t="s">
        <v>1682</v>
      </c>
      <c r="AZ25" s="1024" t="s">
        <v>1683</v>
      </c>
      <c r="BB25" s="1024" t="s">
        <v>1684</v>
      </c>
      <c r="BC25" s="1024" t="s">
        <v>1677</v>
      </c>
      <c r="BE25" s="1024">
        <v>2023</v>
      </c>
      <c r="BH25" s="974" t="s">
        <v>1612</v>
      </c>
      <c r="BJ25" s="974" t="s">
        <v>1634</v>
      </c>
      <c r="BL25" s="974" t="s">
        <v>1634</v>
      </c>
      <c r="BQ25" s="1202">
        <v>4190070</v>
      </c>
      <c r="BR25" s="974" t="s">
        <v>1685</v>
      </c>
      <c r="BS25" s="1345"/>
      <c r="BT25" s="1202">
        <v>4189677</v>
      </c>
      <c r="BU25" s="974" t="s">
        <v>1686</v>
      </c>
      <c r="BV25" s="976"/>
      <c r="BW25" s="976"/>
    </row>
    <row r="26" spans="1:82" ht="11.25" customHeight="1">
      <c r="A26" s="980" t="s">
        <v>1687</v>
      </c>
      <c r="B26" s="981">
        <v>2024</v>
      </c>
      <c r="J26" s="1642" t="s">
        <v>1688</v>
      </c>
      <c r="AX26" s="1024" t="s">
        <v>1689</v>
      </c>
      <c r="AZ26" s="1024" t="s">
        <v>1558</v>
      </c>
      <c r="BB26" s="1024" t="s">
        <v>1690</v>
      </c>
      <c r="BC26" s="1024" t="s">
        <v>1677</v>
      </c>
      <c r="BE26" s="1024">
        <v>2024</v>
      </c>
      <c r="BH26" s="974" t="s">
        <v>1621</v>
      </c>
      <c r="BJ26" s="974" t="s">
        <v>1576</v>
      </c>
      <c r="BL26" s="974" t="s">
        <v>1576</v>
      </c>
      <c r="BQ26" s="1202">
        <v>4190071</v>
      </c>
      <c r="BR26" s="974" t="s">
        <v>1691</v>
      </c>
      <c r="BS26" s="1345"/>
      <c r="BV26" s="976"/>
      <c r="BW26" s="976"/>
    </row>
    <row r="27" spans="1:82" ht="11.25" customHeight="1">
      <c r="A27" s="980" t="s">
        <v>1692</v>
      </c>
      <c r="B27" s="981">
        <v>2025</v>
      </c>
      <c r="J27" s="97" t="s">
        <v>102</v>
      </c>
      <c r="AX27" s="1024" t="s">
        <v>1693</v>
      </c>
      <c r="BB27" s="1024" t="s">
        <v>1694</v>
      </c>
      <c r="BC27" s="1024" t="s">
        <v>1677</v>
      </c>
      <c r="BE27" s="1024">
        <v>2025</v>
      </c>
      <c r="BH27" s="976" t="s">
        <v>24</v>
      </c>
      <c r="BJ27" s="974" t="s">
        <v>1583</v>
      </c>
      <c r="BL27" s="974" t="s">
        <v>1583</v>
      </c>
      <c r="BN27" s="976" t="s">
        <v>24</v>
      </c>
      <c r="BQ27" s="1202">
        <v>4190072</v>
      </c>
      <c r="BR27" s="974" t="s">
        <v>1695</v>
      </c>
      <c r="BS27" s="1345"/>
      <c r="BV27" s="976"/>
      <c r="BW27" s="976"/>
    </row>
    <row r="28" spans="1:82" ht="11.25" customHeight="1">
      <c r="A28" s="980" t="s">
        <v>1696</v>
      </c>
      <c r="D28" s="1005"/>
      <c r="E28" s="1006"/>
      <c r="F28" s="1006"/>
      <c r="H28" s="1007" t="s">
        <v>1697</v>
      </c>
      <c r="AX28" s="1024" t="s">
        <v>1698</v>
      </c>
      <c r="AZ28" s="973" t="s">
        <v>1699</v>
      </c>
      <c r="BB28" s="1024" t="s">
        <v>1700</v>
      </c>
      <c r="BC28" s="1024" t="s">
        <v>1701</v>
      </c>
      <c r="BE28" s="1024">
        <v>2026</v>
      </c>
      <c r="BH28" s="976" t="s">
        <v>24</v>
      </c>
      <c r="BJ28" s="974" t="s">
        <v>1590</v>
      </c>
      <c r="BL28" s="974" t="s">
        <v>1590</v>
      </c>
      <c r="BN28" s="976" t="s">
        <v>24</v>
      </c>
      <c r="BQ28" s="1202">
        <v>4190073</v>
      </c>
      <c r="BR28" s="974" t="s">
        <v>1702</v>
      </c>
      <c r="BS28" s="1345"/>
      <c r="BV28" s="976"/>
      <c r="BW28" s="976"/>
    </row>
    <row r="29" spans="1:82" ht="11.25" customHeight="1">
      <c r="A29" s="980" t="s">
        <v>1703</v>
      </c>
      <c r="D29" s="1008" t="s">
        <v>1704</v>
      </c>
      <c r="E29" s="1009">
        <f>IF(TEMPLATE_GROUP="","",INDEX(StartDateList,MATCH(TEMPLATE_GROUP,CodeTemplateList,0),1))</f>
        <v>45292.636736111112</v>
      </c>
      <c r="F29" s="1009">
        <f>IF(TEMPLATE_GROUP="","",INDEX(EndDateList,MATCH(TEMPLATE_GROUP,CodeTemplateList,0),1))</f>
        <v>45657.636805555558</v>
      </c>
      <c r="H29" s="1010" t="s">
        <v>1705</v>
      </c>
      <c r="AX29" s="1024" t="s">
        <v>1706</v>
      </c>
      <c r="AZ29" s="1024" t="s">
        <v>1358</v>
      </c>
      <c r="BB29" s="1024" t="s">
        <v>1558</v>
      </c>
      <c r="BC29" s="996"/>
      <c r="BE29" s="1024">
        <v>2027</v>
      </c>
      <c r="BJ29" s="974" t="s">
        <v>1598</v>
      </c>
      <c r="BL29" s="974" t="s">
        <v>1598</v>
      </c>
    </row>
    <row r="30" spans="1:82" ht="11.25" customHeight="1">
      <c r="A30" s="980" t="s">
        <v>1707</v>
      </c>
      <c r="D30" s="1011"/>
      <c r="E30" s="1012"/>
      <c r="F30" s="1012"/>
      <c r="AX30" s="1024" t="s">
        <v>1708</v>
      </c>
      <c r="AZ30" s="1024" t="s">
        <v>661</v>
      </c>
      <c r="BE30" s="1024">
        <v>2028</v>
      </c>
      <c r="BJ30" s="974" t="s">
        <v>1709</v>
      </c>
      <c r="BL30" s="974" t="s">
        <v>1709</v>
      </c>
    </row>
    <row r="31" spans="1:82" ht="12.75" customHeight="1">
      <c r="A31" s="980" t="s">
        <v>1710</v>
      </c>
      <c r="D31" s="1005"/>
      <c r="E31" s="1006"/>
      <c r="F31" s="1006"/>
      <c r="H31" s="1013"/>
      <c r="AX31" s="1024" t="s">
        <v>1711</v>
      </c>
      <c r="AZ31" s="1024" t="s">
        <v>657</v>
      </c>
      <c r="BE31" s="1024">
        <v>2029</v>
      </c>
      <c r="BJ31" s="974" t="s">
        <v>1712</v>
      </c>
      <c r="BL31" s="974" t="s">
        <v>1712</v>
      </c>
    </row>
    <row r="32" spans="1:82" ht="11.25" customHeight="1">
      <c r="A32" s="980" t="s">
        <v>1713</v>
      </c>
      <c r="D32" s="1008" t="s">
        <v>1714</v>
      </c>
      <c r="E32" s="1009">
        <f>IF(TEMPLATE_GROUP="","",INDEX(StartDateList,MATCH(TEMPLATE_GROUP,CodeTemplateList,0),1))</f>
        <v>45292.636736111112</v>
      </c>
      <c r="F32" s="1009">
        <f>IF(TEMPLATE_GROUP="","",INDEX(EndDateList,MATCH(TEMPLATE_GROUP,CodeTemplateList,0),1))</f>
        <v>45657.636805555558</v>
      </c>
      <c r="H32" s="1014" t="s">
        <v>1715</v>
      </c>
      <c r="O32" s="980" t="s">
        <v>1356</v>
      </c>
      <c r="AX32" s="1024" t="s">
        <v>1716</v>
      </c>
      <c r="AZ32" s="1024" t="s">
        <v>659</v>
      </c>
      <c r="BE32" s="1024">
        <v>2030</v>
      </c>
      <c r="BJ32" s="974" t="s">
        <v>1606</v>
      </c>
      <c r="BL32" s="974" t="s">
        <v>1606</v>
      </c>
    </row>
    <row r="33" spans="1:66" ht="11.25" customHeight="1">
      <c r="A33" s="980" t="s">
        <v>1717</v>
      </c>
      <c r="O33" s="980" t="s">
        <v>1383</v>
      </c>
      <c r="AX33" s="1024" t="s">
        <v>1718</v>
      </c>
      <c r="AZ33" s="1024" t="s">
        <v>1357</v>
      </c>
      <c r="BE33" s="1024">
        <v>2031</v>
      </c>
      <c r="BJ33" s="974" t="s">
        <v>1612</v>
      </c>
      <c r="BL33" s="974" t="s">
        <v>1612</v>
      </c>
    </row>
    <row r="34" spans="1:66" ht="11.25" customHeight="1">
      <c r="A34" s="980" t="s">
        <v>1719</v>
      </c>
      <c r="O34" s="980" t="s">
        <v>1418</v>
      </c>
      <c r="AX34" s="1024" t="s">
        <v>1720</v>
      </c>
      <c r="BE34" s="1024">
        <v>2032</v>
      </c>
      <c r="BJ34" s="974" t="s">
        <v>1621</v>
      </c>
      <c r="BL34" s="974" t="s">
        <v>1621</v>
      </c>
    </row>
    <row r="35" spans="1:66" ht="11.25" customHeight="1">
      <c r="A35" s="980" t="s">
        <v>1721</v>
      </c>
      <c r="O35" s="980" t="s">
        <v>1451</v>
      </c>
      <c r="AX35" s="1024" t="s">
        <v>1722</v>
      </c>
      <c r="AZ35" s="973" t="s">
        <v>1723</v>
      </c>
      <c r="BE35" s="1024">
        <v>2033</v>
      </c>
      <c r="BL35" s="974" t="s">
        <v>1724</v>
      </c>
    </row>
    <row r="36" spans="1:66" ht="11.25" customHeight="1">
      <c r="A36" s="1782" t="s">
        <v>1725</v>
      </c>
      <c r="D36" s="1015" t="s">
        <v>1726</v>
      </c>
      <c r="E36" s="1016" t="s">
        <v>955</v>
      </c>
      <c r="F36" s="1017" t="str">
        <f>INDEX(E37:E41,MATCH(TEMPLATE_SPHERE,F37:F41,0))</f>
        <v>водоотведения</v>
      </c>
      <c r="G36" s="1017" t="str">
        <f>INDEX(G37:G41,MATCH(TEMPLATE_SPHERE,F37:F41,0))</f>
        <v>водоотведение</v>
      </c>
      <c r="O36" s="980" t="s">
        <v>1475</v>
      </c>
      <c r="AX36" s="1024" t="s">
        <v>1727</v>
      </c>
      <c r="AZ36" s="1024" t="s">
        <v>1357</v>
      </c>
      <c r="BE36" s="1024">
        <v>2034</v>
      </c>
      <c r="BL36" s="974" t="s">
        <v>1728</v>
      </c>
    </row>
    <row r="37" spans="1:66" ht="11.25" customHeight="1">
      <c r="A37" s="980" t="s">
        <v>1729</v>
      </c>
      <c r="E37" s="342" t="s">
        <v>1730</v>
      </c>
      <c r="F37" s="1018" t="s">
        <v>857</v>
      </c>
      <c r="G37" s="342" t="s">
        <v>1731</v>
      </c>
      <c r="O37" s="980" t="s">
        <v>1494</v>
      </c>
      <c r="AX37" s="1024" t="s">
        <v>1732</v>
      </c>
      <c r="AZ37" s="1024" t="s">
        <v>1385</v>
      </c>
      <c r="BE37" s="1024">
        <v>2035</v>
      </c>
    </row>
    <row r="38" spans="1:66" ht="11.25" customHeight="1">
      <c r="A38" s="980" t="s">
        <v>1733</v>
      </c>
      <c r="E38" s="342" t="s">
        <v>1734</v>
      </c>
      <c r="F38" s="1019" t="s">
        <v>903</v>
      </c>
      <c r="G38" s="342" t="s">
        <v>1735</v>
      </c>
      <c r="O38" s="980" t="s">
        <v>1510</v>
      </c>
      <c r="AX38" s="1024" t="s">
        <v>1736</v>
      </c>
      <c r="AZ38" s="1024" t="s">
        <v>1419</v>
      </c>
      <c r="BE38" s="1024">
        <v>2036</v>
      </c>
      <c r="BH38" s="973" t="s">
        <v>1737</v>
      </c>
      <c r="BJ38" s="973" t="s">
        <v>1738</v>
      </c>
      <c r="BL38" s="973" t="s">
        <v>1739</v>
      </c>
      <c r="BN38" s="973" t="s">
        <v>1740</v>
      </c>
    </row>
    <row r="39" spans="1:66" ht="11.25" customHeight="1">
      <c r="A39" s="980" t="s">
        <v>1741</v>
      </c>
      <c r="E39" s="342" t="s">
        <v>1742</v>
      </c>
      <c r="F39" s="1019" t="s">
        <v>955</v>
      </c>
      <c r="G39" s="342" t="s">
        <v>1743</v>
      </c>
      <c r="O39" s="980" t="s">
        <v>1526</v>
      </c>
      <c r="AX39" s="1024" t="s">
        <v>130</v>
      </c>
      <c r="AZ39" s="1024" t="s">
        <v>1452</v>
      </c>
      <c r="BE39" s="1024">
        <v>2037</v>
      </c>
      <c r="BH39" s="974" t="s">
        <v>1744</v>
      </c>
      <c r="BJ39" s="1122" t="s">
        <v>1744</v>
      </c>
      <c r="BL39" s="1122" t="s">
        <v>1744</v>
      </c>
      <c r="BN39" s="974" t="s">
        <v>1745</v>
      </c>
    </row>
    <row r="40" spans="1:66" ht="11.25" customHeight="1">
      <c r="A40" s="980" t="s">
        <v>1746</v>
      </c>
      <c r="E40" s="342" t="s">
        <v>1747</v>
      </c>
      <c r="F40" s="1019" t="s">
        <v>941</v>
      </c>
      <c r="G40" s="342" t="s">
        <v>1748</v>
      </c>
      <c r="O40" s="980" t="s">
        <v>1542</v>
      </c>
      <c r="AX40" s="1024" t="s">
        <v>1749</v>
      </c>
      <c r="BE40" s="1024">
        <v>2038</v>
      </c>
      <c r="BH40" s="974" t="s">
        <v>1750</v>
      </c>
      <c r="BJ40" s="1122" t="s">
        <v>1076</v>
      </c>
      <c r="BL40" s="1122" t="s">
        <v>1076</v>
      </c>
      <c r="BN40" s="974" t="s">
        <v>1110</v>
      </c>
    </row>
    <row r="41" spans="1:66" ht="11.25" customHeight="1">
      <c r="A41" s="980" t="s">
        <v>1751</v>
      </c>
      <c r="E41" s="342" t="s">
        <v>1752</v>
      </c>
      <c r="F41" s="1019" t="s">
        <v>1753</v>
      </c>
      <c r="G41" s="342" t="s">
        <v>1752</v>
      </c>
      <c r="O41" s="980" t="s">
        <v>1558</v>
      </c>
      <c r="AX41" s="1024" t="s">
        <v>1754</v>
      </c>
      <c r="AZ41" s="973" t="s">
        <v>1755</v>
      </c>
      <c r="BE41" s="1024">
        <v>2039</v>
      </c>
      <c r="BH41" s="974" t="s">
        <v>1756</v>
      </c>
      <c r="BJ41" s="1122" t="s">
        <v>1072</v>
      </c>
      <c r="BL41" s="1122" t="s">
        <v>1072</v>
      </c>
      <c r="BN41" s="974" t="s">
        <v>1097</v>
      </c>
    </row>
    <row r="42" spans="1:66" ht="11.25" customHeight="1">
      <c r="A42" s="980" t="s">
        <v>1757</v>
      </c>
      <c r="AX42" s="1024" t="s">
        <v>1758</v>
      </c>
      <c r="AZ42" s="1024" t="s">
        <v>1356</v>
      </c>
      <c r="BE42" s="1024">
        <v>2040</v>
      </c>
      <c r="BH42" s="974" t="s">
        <v>1094</v>
      </c>
      <c r="BJ42" s="1122" t="s">
        <v>1074</v>
      </c>
      <c r="BL42" s="1122" t="s">
        <v>1074</v>
      </c>
      <c r="BN42" s="974" t="s">
        <v>1759</v>
      </c>
    </row>
    <row r="43" spans="1:66" ht="11.25" customHeight="1">
      <c r="A43" s="980" t="s">
        <v>1760</v>
      </c>
      <c r="AX43" s="1024" t="s">
        <v>134</v>
      </c>
      <c r="AZ43" s="1024" t="s">
        <v>1383</v>
      </c>
      <c r="BE43" s="1024">
        <v>2041</v>
      </c>
      <c r="BH43" s="974" t="s">
        <v>1761</v>
      </c>
      <c r="BJ43" s="1122" t="s">
        <v>1756</v>
      </c>
      <c r="BL43" s="1122" t="s">
        <v>1756</v>
      </c>
      <c r="BN43" s="974" t="s">
        <v>1762</v>
      </c>
    </row>
    <row r="44" spans="1:66" ht="11.25" customHeight="1">
      <c r="A44" s="980" t="s">
        <v>1763</v>
      </c>
      <c r="I44" s="717" t="s">
        <v>1764</v>
      </c>
      <c r="J44" s="995" t="s">
        <v>1765</v>
      </c>
      <c r="K44" s="995" t="s">
        <v>1766</v>
      </c>
      <c r="AX44" s="1024" t="s">
        <v>1767</v>
      </c>
      <c r="AZ44" s="1024" t="s">
        <v>1418</v>
      </c>
      <c r="BE44" s="1024">
        <v>2042</v>
      </c>
      <c r="BH44" s="974" t="s">
        <v>1768</v>
      </c>
      <c r="BJ44" s="1122" t="s">
        <v>1094</v>
      </c>
      <c r="BL44" s="1122" t="s">
        <v>1094</v>
      </c>
      <c r="BN44" s="974" t="s">
        <v>1769</v>
      </c>
    </row>
    <row r="45" spans="1:66" ht="11.25" customHeight="1">
      <c r="A45" s="980" t="s">
        <v>1770</v>
      </c>
      <c r="D45" s="1015" t="s">
        <v>1771</v>
      </c>
      <c r="E45" s="1016" t="s">
        <v>1772</v>
      </c>
      <c r="F45" s="715" t="s">
        <v>1773</v>
      </c>
      <c r="G45" s="714" t="s">
        <v>1774</v>
      </c>
      <c r="H45" s="717" t="s">
        <v>1775</v>
      </c>
      <c r="I45" s="1652" t="b">
        <f>INDEX(PeriodIsEmptyList,MATCH(TEMPLATE_GROUP,CodeTemplateList,0),1)</f>
        <v>0</v>
      </c>
      <c r="J45" s="1655" t="str">
        <f>INDEX(NameTemplatesInTitleList,MATCH(TEMPLATE_GROUP,CodeTemplateList,0),1)</f>
        <v>Показатели, подлежащие раскрытию в сфере водоотведения (цены и тарифы)</v>
      </c>
      <c r="K45" s="165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4" t="s">
        <v>1776</v>
      </c>
      <c r="AZ45" s="1024" t="s">
        <v>1451</v>
      </c>
      <c r="BE45" s="1024">
        <v>2043</v>
      </c>
      <c r="BH45" s="974" t="s">
        <v>1777</v>
      </c>
      <c r="BJ45" s="1122" t="s">
        <v>1088</v>
      </c>
      <c r="BL45" s="1122" t="s">
        <v>1088</v>
      </c>
      <c r="BN45" s="974" t="s">
        <v>1778</v>
      </c>
    </row>
    <row r="46" spans="1:66" ht="11.25" customHeight="1">
      <c r="A46" s="980" t="s">
        <v>1779</v>
      </c>
      <c r="E46" s="342" t="s">
        <v>22</v>
      </c>
      <c r="F46" s="1018" t="s">
        <v>1780</v>
      </c>
      <c r="G46" s="1020"/>
      <c r="H46" s="1020"/>
      <c r="I46" s="1653" t="b">
        <f>IF(TITLE_DATE_FIL="",TRUE,FALSE)</f>
        <v>1</v>
      </c>
      <c r="J46" s="1656" t="str">
        <f>"Общая информация о регулируемой организации ("&amp;TEMPLATE_SPHERE_RUS&amp;")"</f>
        <v>Общая информация о регулируемой организации (водоотведения)</v>
      </c>
      <c r="K46" s="1657"/>
      <c r="AX46" s="1024" t="s">
        <v>1781</v>
      </c>
      <c r="AZ46" s="1024" t="s">
        <v>1475</v>
      </c>
      <c r="BE46" s="1024">
        <v>2044</v>
      </c>
      <c r="BH46" s="974" t="s">
        <v>1097</v>
      </c>
      <c r="BJ46" s="1122" t="s">
        <v>1078</v>
      </c>
      <c r="BL46" s="1122" t="s">
        <v>1078</v>
      </c>
      <c r="BN46" s="974" t="s">
        <v>1782</v>
      </c>
    </row>
    <row r="47" spans="1:66" ht="11.25" customHeight="1">
      <c r="A47" s="980" t="s">
        <v>1783</v>
      </c>
      <c r="E47" s="342" t="s">
        <v>29</v>
      </c>
      <c r="F47" s="1019" t="s">
        <v>1784</v>
      </c>
      <c r="G47" s="1021" t="str">
        <f>IF(f_year="","",IF(LEN(f_quart)=0,"",IF(f_quart="I квартал","01.01."&amp;f_year,IF(f_quart="II квартал","01.04."&amp;f_year,(IF(f_quart="III квартал","01.07."&amp;f_year,"01.10."&amp;f_year))))))</f>
        <v/>
      </c>
      <c r="H47" s="1021" t="str">
        <f>IF(f_year="","",IF(LEN(f_quart)=0,"",IF(f_quart="I квартал","31.03."&amp;f_year,IF(f_quart="II квартал","30.06."&amp;f_year,(IF(f_quart="III квартал","30.09."&amp;f_year,"31.12."&amp;f_year))))))</f>
        <v/>
      </c>
      <c r="I47" s="1654" t="b">
        <f>IF(OR(f_year="",f_quart=""),TRUE,FALSE)</f>
        <v>1</v>
      </c>
      <c r="J47" s="165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57"/>
      <c r="AX47" s="1024" t="s">
        <v>1785</v>
      </c>
      <c r="AZ47" s="1024" t="s">
        <v>1494</v>
      </c>
      <c r="BE47" s="1024">
        <v>2045</v>
      </c>
      <c r="BH47" s="974" t="s">
        <v>1759</v>
      </c>
      <c r="BJ47" s="1122" t="s">
        <v>1080</v>
      </c>
      <c r="BL47" s="1122" t="s">
        <v>1080</v>
      </c>
      <c r="BN47" s="974" t="s">
        <v>1786</v>
      </c>
    </row>
    <row r="48" spans="1:66" ht="11.25" customHeight="1">
      <c r="A48" s="980" t="s">
        <v>1787</v>
      </c>
      <c r="E48" s="342" t="s">
        <v>1788</v>
      </c>
      <c r="F48" s="1019" t="s">
        <v>1789</v>
      </c>
      <c r="G48" s="1021" t="str">
        <f>IF(f_year="","","01.01."&amp;f_year)</f>
        <v/>
      </c>
      <c r="H48" s="1021" t="str">
        <f>IF(f_year="","","31.12."&amp;f_year)</f>
        <v/>
      </c>
      <c r="I48" s="1653" t="b">
        <f>IF(f_year="",TRUE,FALSE)</f>
        <v>1</v>
      </c>
      <c r="J48" s="1656" t="s">
        <v>1790</v>
      </c>
      <c r="K48" s="1657"/>
      <c r="AX48" s="1024" t="s">
        <v>164</v>
      </c>
      <c r="AZ48" s="1024" t="s">
        <v>1510</v>
      </c>
      <c r="BE48" s="1024">
        <v>2046</v>
      </c>
      <c r="BH48" s="974" t="s">
        <v>1762</v>
      </c>
      <c r="BJ48" s="1122" t="s">
        <v>1082</v>
      </c>
      <c r="BL48" s="1122" t="s">
        <v>1082</v>
      </c>
      <c r="BN48" s="974" t="s">
        <v>1791</v>
      </c>
    </row>
    <row r="49" spans="1:64" ht="11.25" customHeight="1">
      <c r="A49" s="980" t="s">
        <v>1792</v>
      </c>
      <c r="E49" s="342" t="s">
        <v>1793</v>
      </c>
      <c r="F49" s="1019" t="s">
        <v>1794</v>
      </c>
      <c r="G49" s="1021" t="str">
        <f>IF(f_year="","","01.01."&amp;f_year)</f>
        <v/>
      </c>
      <c r="H49" s="1021" t="str">
        <f>IF(f_year="","","31.12."&amp;f_year)</f>
        <v/>
      </c>
      <c r="I49" s="1653" t="b">
        <f>IF(f_year="",TRUE,FALSE)</f>
        <v>1</v>
      </c>
      <c r="J49" s="165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57"/>
      <c r="AX49" s="1024" t="s">
        <v>1795</v>
      </c>
      <c r="AZ49" s="1024" t="s">
        <v>1526</v>
      </c>
      <c r="BE49" s="1024">
        <v>2047</v>
      </c>
      <c r="BH49" s="974" t="s">
        <v>1098</v>
      </c>
      <c r="BJ49" s="1122" t="s">
        <v>1084</v>
      </c>
      <c r="BL49" s="1122" t="s">
        <v>1084</v>
      </c>
    </row>
    <row r="50" spans="1:64" ht="11.25" customHeight="1">
      <c r="A50" s="980" t="s">
        <v>1796</v>
      </c>
      <c r="E50" s="342" t="s">
        <v>1797</v>
      </c>
      <c r="F50" s="1019" t="s">
        <v>1068</v>
      </c>
      <c r="G50" s="1021" t="str">
        <f>IF(f_year="","","01.01."&amp;f_year)</f>
        <v/>
      </c>
      <c r="H50" s="1021" t="str">
        <f>IF(f_year="","","31.12."&amp;f_year)</f>
        <v/>
      </c>
      <c r="I50" s="1653" t="b">
        <f>IF(f_year="",TRUE,FALSE)</f>
        <v>1</v>
      </c>
      <c r="J50" s="165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57"/>
      <c r="AX50" s="1024" t="s">
        <v>1798</v>
      </c>
      <c r="AZ50" s="1024" t="s">
        <v>1542</v>
      </c>
      <c r="BE50" s="1024">
        <v>2048</v>
      </c>
      <c r="BH50" s="974" t="s">
        <v>1769</v>
      </c>
      <c r="BJ50" s="1122" t="s">
        <v>1086</v>
      </c>
      <c r="BL50" s="1122" t="s">
        <v>1086</v>
      </c>
    </row>
    <row r="51" spans="1:64" ht="11.25" customHeight="1">
      <c r="A51" s="980" t="s">
        <v>1799</v>
      </c>
      <c r="E51" s="342" t="s">
        <v>1800</v>
      </c>
      <c r="F51" s="1019" t="s">
        <v>1801</v>
      </c>
      <c r="G51" s="1021">
        <f>IF(TITLE_PERIOD_START="","",TITLE_PERIOD_START)</f>
        <v>45292.636736111112</v>
      </c>
      <c r="H51" s="1021">
        <f>IF(TITLE_PERIOD_END="","",TITLE_PERIOD_END)</f>
        <v>45657.636805555558</v>
      </c>
      <c r="I51" s="1654" t="b">
        <f>IF(OR(TITLE_PERIOD_START="",TITLE_PERIOD_END=""),TRUE,FALSE)</f>
        <v>0</v>
      </c>
      <c r="J51" s="165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7"/>
      <c r="AX51" s="1024" t="s">
        <v>1802</v>
      </c>
      <c r="AZ51" s="1024" t="s">
        <v>1558</v>
      </c>
      <c r="BE51" s="1024">
        <v>2049</v>
      </c>
      <c r="BH51" s="974" t="s">
        <v>1778</v>
      </c>
      <c r="BJ51" s="1122" t="s">
        <v>1803</v>
      </c>
      <c r="BL51" s="1122" t="s">
        <v>1803</v>
      </c>
    </row>
    <row r="52" spans="1:64" ht="11.25" customHeight="1">
      <c r="A52" s="980" t="s">
        <v>1804</v>
      </c>
      <c r="E52" s="342" t="s">
        <v>1805</v>
      </c>
      <c r="F52" s="1019" t="s">
        <v>1772</v>
      </c>
      <c r="G52" s="1021">
        <f>IF(TITLE_PERIOD_START="","",TITLE_PERIOD_START)</f>
        <v>45292.636736111112</v>
      </c>
      <c r="H52" s="1021">
        <f>IF(TITLE_PERIOD_END="","",TITLE_PERIOD_END)</f>
        <v>45657.636805555558</v>
      </c>
      <c r="I52" s="1654" t="b">
        <f>IF(OR(TITLE_PERIOD_START="",TITLE_PERIOD_END=""),TRUE,FALSE)</f>
        <v>0</v>
      </c>
      <c r="J52" s="1656" t="str">
        <f>"Показатели, подлежащие раскрытию в сфере "&amp;TEMPLATE_SPHERE_RUS&amp;" (цены и тарифы)"</f>
        <v>Показатели, подлежащие раскрытию в сфере водоотведения (цены и тарифы)</v>
      </c>
      <c r="K52" s="1657"/>
      <c r="AX52" s="1024" t="s">
        <v>1806</v>
      </c>
      <c r="AZ52" s="1024" t="s">
        <v>1357</v>
      </c>
      <c r="BE52" s="1024">
        <v>2050</v>
      </c>
      <c r="BH52" s="974" t="s">
        <v>1782</v>
      </c>
      <c r="BJ52" s="1122" t="s">
        <v>1097</v>
      </c>
      <c r="BL52" s="1122" t="s">
        <v>1097</v>
      </c>
    </row>
    <row r="53" spans="1:64" ht="11.25" customHeight="1">
      <c r="A53" s="980" t="s">
        <v>1807</v>
      </c>
      <c r="E53" s="342" t="s">
        <v>1808</v>
      </c>
      <c r="F53" s="1019" t="s">
        <v>1808</v>
      </c>
      <c r="G53" s="1021" t="str">
        <f>IF(f_year="","","01.01."&amp;f_year)</f>
        <v/>
      </c>
      <c r="H53" s="1021" t="str">
        <f>IF(f_year="","","31.12."&amp;f_year)</f>
        <v/>
      </c>
      <c r="I53" s="1653" t="b">
        <f>IF(AND(f_year="",TITLE_DATE_FIL=""),TRUE,FALSE)</f>
        <v>1</v>
      </c>
      <c r="J53" s="1656" t="s">
        <v>1809</v>
      </c>
      <c r="K53" s="1657"/>
      <c r="AX53" s="1024" t="s">
        <v>1810</v>
      </c>
      <c r="BE53" s="1024">
        <v>2051</v>
      </c>
      <c r="BH53" s="974" t="s">
        <v>1786</v>
      </c>
      <c r="BJ53" s="1122" t="s">
        <v>1759</v>
      </c>
      <c r="BL53" s="1122" t="s">
        <v>1759</v>
      </c>
    </row>
    <row r="54" spans="1:64" ht="11.25" customHeight="1">
      <c r="A54" s="980" t="s">
        <v>1811</v>
      </c>
      <c r="AX54" s="1024" t="s">
        <v>1812</v>
      </c>
      <c r="AZ54" s="973" t="s">
        <v>1813</v>
      </c>
      <c r="BE54" s="1024">
        <v>2052</v>
      </c>
      <c r="BH54" s="974" t="s">
        <v>1791</v>
      </c>
      <c r="BJ54" s="1122" t="s">
        <v>1762</v>
      </c>
      <c r="BL54" s="1122" t="s">
        <v>1762</v>
      </c>
    </row>
    <row r="55" spans="1:64" ht="11.25" customHeight="1">
      <c r="A55" s="980" t="s">
        <v>1814</v>
      </c>
      <c r="AX55" s="1024" t="s">
        <v>1815</v>
      </c>
      <c r="AZ55" s="1024" t="s">
        <v>1359</v>
      </c>
      <c r="BE55" s="1024">
        <v>2053</v>
      </c>
      <c r="BH55" s="976" t="s">
        <v>24</v>
      </c>
      <c r="BJ55" s="1122" t="s">
        <v>1098</v>
      </c>
      <c r="BL55" s="1122" t="s">
        <v>1098</v>
      </c>
    </row>
    <row r="56" spans="1:64" ht="11.25" customHeight="1">
      <c r="A56" s="980" t="s">
        <v>1816</v>
      </c>
      <c r="D56" s="1023" t="s">
        <v>1817</v>
      </c>
      <c r="E56" s="1000">
        <v>65</v>
      </c>
      <c r="F56" s="980" t="s">
        <v>1818</v>
      </c>
      <c r="AX56" s="1024" t="s">
        <v>124</v>
      </c>
      <c r="AZ56" s="1024" t="s">
        <v>1386</v>
      </c>
      <c r="BE56" s="1024">
        <v>2054</v>
      </c>
      <c r="BH56" s="976" t="s">
        <v>24</v>
      </c>
      <c r="BJ56" s="1122" t="s">
        <v>1769</v>
      </c>
      <c r="BL56" s="1122" t="s">
        <v>1769</v>
      </c>
    </row>
    <row r="57" spans="1:64" ht="11.25" customHeight="1">
      <c r="A57" s="980" t="s">
        <v>1819</v>
      </c>
      <c r="D57" s="1023" t="s">
        <v>1820</v>
      </c>
      <c r="E57" s="1000">
        <v>66</v>
      </c>
      <c r="F57" s="980" t="s">
        <v>1818</v>
      </c>
      <c r="AX57" s="1024" t="s">
        <v>1821</v>
      </c>
      <c r="AZ57" s="1024" t="s">
        <v>1421</v>
      </c>
      <c r="BE57" s="1024">
        <v>2055</v>
      </c>
      <c r="BJ57" s="1122" t="s">
        <v>1778</v>
      </c>
      <c r="BL57" s="1122" t="s">
        <v>1778</v>
      </c>
    </row>
    <row r="58" spans="1:64" ht="11.25" customHeight="1">
      <c r="A58" s="980" t="s">
        <v>1822</v>
      </c>
      <c r="D58" s="1023" t="s">
        <v>1823</v>
      </c>
      <c r="E58" s="1000">
        <v>44</v>
      </c>
      <c r="F58" s="980" t="s">
        <v>1818</v>
      </c>
      <c r="AX58" s="1024" t="s">
        <v>1824</v>
      </c>
      <c r="BE58" s="1024">
        <v>2056</v>
      </c>
      <c r="BJ58" s="1122" t="s">
        <v>1782</v>
      </c>
      <c r="BL58" s="1122" t="s">
        <v>1782</v>
      </c>
    </row>
    <row r="59" spans="1:64" ht="11.25" customHeight="1">
      <c r="A59" s="980" t="s">
        <v>1825</v>
      </c>
      <c r="D59" s="1023" t="s">
        <v>193</v>
      </c>
      <c r="E59" s="1000" t="s">
        <v>1651</v>
      </c>
      <c r="F59" s="980" t="s">
        <v>1826</v>
      </c>
      <c r="AX59" s="1024" t="s">
        <v>1827</v>
      </c>
      <c r="AZ59" s="973" t="s">
        <v>1828</v>
      </c>
      <c r="BE59" s="1024">
        <v>2057</v>
      </c>
      <c r="BJ59" s="1122" t="s">
        <v>1786</v>
      </c>
      <c r="BL59" s="1122" t="s">
        <v>1786</v>
      </c>
    </row>
    <row r="60" spans="1:64" ht="11.25" customHeight="1">
      <c r="A60" s="980" t="s">
        <v>1829</v>
      </c>
      <c r="D60" s="1023" t="s">
        <v>1830</v>
      </c>
      <c r="E60" s="1000" t="s">
        <v>1651</v>
      </c>
      <c r="F60" s="980" t="s">
        <v>1826</v>
      </c>
      <c r="AX60" s="1024" t="s">
        <v>1831</v>
      </c>
      <c r="AZ60" s="1024" t="s">
        <v>1360</v>
      </c>
      <c r="BE60" s="1024">
        <v>2058</v>
      </c>
      <c r="BJ60" s="1122" t="s">
        <v>1791</v>
      </c>
      <c r="BL60" s="1122" t="s">
        <v>1791</v>
      </c>
    </row>
    <row r="61" spans="1:64" ht="11.25" customHeight="1">
      <c r="A61" s="980" t="s">
        <v>1832</v>
      </c>
      <c r="D61" s="1023" t="s">
        <v>1833</v>
      </c>
      <c r="E61" s="1000">
        <v>44</v>
      </c>
      <c r="F61" s="980" t="s">
        <v>1826</v>
      </c>
      <c r="AX61" s="1024" t="s">
        <v>1834</v>
      </c>
      <c r="AZ61" s="1024" t="s">
        <v>1387</v>
      </c>
      <c r="BE61" s="1024">
        <v>2059</v>
      </c>
      <c r="BL61" s="1122" t="s">
        <v>1090</v>
      </c>
    </row>
    <row r="62" spans="1:64" ht="11.25" customHeight="1">
      <c r="A62" s="980" t="s">
        <v>1835</v>
      </c>
      <c r="D62" s="1023" t="s">
        <v>192</v>
      </c>
      <c r="E62" s="1000">
        <v>48</v>
      </c>
      <c r="F62" s="980" t="s">
        <v>1826</v>
      </c>
      <c r="AZ62" s="1024" t="s">
        <v>1422</v>
      </c>
      <c r="BE62" s="1024">
        <v>2060</v>
      </c>
      <c r="BL62" s="1122" t="s">
        <v>1092</v>
      </c>
    </row>
    <row r="63" spans="1:64" ht="11.25" customHeight="1">
      <c r="A63" s="980" t="s">
        <v>1836</v>
      </c>
      <c r="D63" s="1023" t="s">
        <v>1837</v>
      </c>
      <c r="E63" s="1000">
        <v>48</v>
      </c>
      <c r="F63" s="980" t="s">
        <v>1826</v>
      </c>
      <c r="AZ63" s="1024" t="s">
        <v>1453</v>
      </c>
      <c r="BE63" s="1024">
        <v>2061</v>
      </c>
    </row>
    <row r="64" spans="1:64" ht="11.25" customHeight="1">
      <c r="A64" s="980" t="s">
        <v>1838</v>
      </c>
      <c r="D64" s="1023" t="s">
        <v>1839</v>
      </c>
      <c r="E64" s="1000">
        <v>48</v>
      </c>
      <c r="F64" s="980" t="s">
        <v>1826</v>
      </c>
      <c r="AZ64" s="1024" t="s">
        <v>1476</v>
      </c>
      <c r="BE64" s="1024">
        <v>2062</v>
      </c>
    </row>
    <row r="65" spans="1:66" ht="11.25" customHeight="1">
      <c r="A65" s="980" t="s">
        <v>1840</v>
      </c>
      <c r="D65" s="980"/>
      <c r="BE65" s="1024">
        <v>2063</v>
      </c>
    </row>
    <row r="66" spans="1:66" ht="11.25" customHeight="1">
      <c r="A66" s="980" t="s">
        <v>1841</v>
      </c>
      <c r="AZ66" s="973" t="s">
        <v>1842</v>
      </c>
      <c r="BE66" s="1024">
        <v>2064</v>
      </c>
    </row>
    <row r="67" spans="1:66" ht="11.25" customHeight="1">
      <c r="A67" s="980" t="s">
        <v>1843</v>
      </c>
      <c r="AZ67" s="1024" t="s">
        <v>1361</v>
      </c>
      <c r="BE67" s="1024">
        <v>2065</v>
      </c>
    </row>
    <row r="68" spans="1:66" ht="11.25" customHeight="1">
      <c r="A68" s="980" t="s">
        <v>1844</v>
      </c>
      <c r="AZ68" s="1024" t="s">
        <v>1388</v>
      </c>
      <c r="BE68" s="1024">
        <v>2066</v>
      </c>
      <c r="BH68" s="973" t="s">
        <v>1845</v>
      </c>
      <c r="BJ68" s="973" t="s">
        <v>1846</v>
      </c>
      <c r="BL68" s="973" t="s">
        <v>1847</v>
      </c>
      <c r="BN68" s="973" t="s">
        <v>1848</v>
      </c>
    </row>
    <row r="69" spans="1:66" ht="11.25" customHeight="1">
      <c r="A69" s="980" t="s">
        <v>1849</v>
      </c>
      <c r="AZ69" s="1024" t="s">
        <v>1423</v>
      </c>
      <c r="BE69" s="1024">
        <v>2067</v>
      </c>
      <c r="BH69" s="974" t="s">
        <v>1850</v>
      </c>
      <c r="BI69" s="1022" t="s">
        <v>174</v>
      </c>
      <c r="BJ69" s="974" t="s">
        <v>1851</v>
      </c>
      <c r="BK69" s="1022" t="s">
        <v>174</v>
      </c>
      <c r="BL69" s="974" t="s">
        <v>1852</v>
      </c>
      <c r="BN69" s="974" t="s">
        <v>1853</v>
      </c>
    </row>
    <row r="70" spans="1:66" ht="11.25" customHeight="1">
      <c r="A70" s="980" t="s">
        <v>1854</v>
      </c>
      <c r="AZ70" s="1024" t="s">
        <v>1454</v>
      </c>
      <c r="BE70" s="1024">
        <v>2068</v>
      </c>
      <c r="BH70" s="974" t="s">
        <v>1855</v>
      </c>
      <c r="BJ70" s="974" t="s">
        <v>1856</v>
      </c>
      <c r="BL70" s="974" t="s">
        <v>1857</v>
      </c>
      <c r="BN70" s="974" t="s">
        <v>1858</v>
      </c>
    </row>
    <row r="71" spans="1:66" ht="11.25" customHeight="1">
      <c r="A71" s="980" t="s">
        <v>1859</v>
      </c>
      <c r="AZ71" s="1024" t="s">
        <v>1456</v>
      </c>
      <c r="BE71" s="1024">
        <v>2069</v>
      </c>
      <c r="BH71" s="974" t="s">
        <v>1860</v>
      </c>
      <c r="BI71" s="1022" t="s">
        <v>88</v>
      </c>
      <c r="BJ71" s="974" t="s">
        <v>1861</v>
      </c>
      <c r="BK71" s="1022" t="s">
        <v>88</v>
      </c>
      <c r="BL71" s="974" t="s">
        <v>1862</v>
      </c>
      <c r="BN71" s="974" t="s">
        <v>1863</v>
      </c>
    </row>
    <row r="72" spans="1:66" ht="11.25" customHeight="1">
      <c r="A72" s="980" t="s">
        <v>1864</v>
      </c>
      <c r="AZ72" s="1024" t="s">
        <v>55</v>
      </c>
      <c r="BE72" s="1024">
        <v>2070</v>
      </c>
      <c r="BH72" s="974" t="s">
        <v>1865</v>
      </c>
      <c r="BJ72" s="974" t="s">
        <v>1865</v>
      </c>
      <c r="BL72" s="974" t="s">
        <v>1865</v>
      </c>
      <c r="BN72" s="974" t="s">
        <v>1866</v>
      </c>
    </row>
    <row r="73" spans="1:66" ht="11.25" customHeight="1">
      <c r="A73" s="980" t="s">
        <v>1867</v>
      </c>
      <c r="BH73" s="974" t="s">
        <v>1868</v>
      </c>
      <c r="BI73" s="1022" t="s">
        <v>128</v>
      </c>
      <c r="BJ73" s="974" t="s">
        <v>1869</v>
      </c>
      <c r="BK73" s="1022" t="s">
        <v>128</v>
      </c>
      <c r="BL73" s="974" t="s">
        <v>1870</v>
      </c>
      <c r="BN73" s="974" t="s">
        <v>1871</v>
      </c>
    </row>
    <row r="74" spans="1:66" ht="11.25" customHeight="1">
      <c r="A74" s="980" t="s">
        <v>1872</v>
      </c>
      <c r="BH74" s="974" t="s">
        <v>1873</v>
      </c>
      <c r="BJ74" s="974" t="s">
        <v>1874</v>
      </c>
      <c r="BL74" s="974" t="s">
        <v>1875</v>
      </c>
      <c r="BN74" s="974" t="s">
        <v>1876</v>
      </c>
    </row>
    <row r="75" spans="1:66" ht="11.25" customHeight="1">
      <c r="A75" s="980" t="s">
        <v>1877</v>
      </c>
      <c r="AZ75" s="973" t="s">
        <v>1878</v>
      </c>
      <c r="BH75" s="974" t="s">
        <v>1879</v>
      </c>
      <c r="BJ75" s="974" t="s">
        <v>1879</v>
      </c>
      <c r="BL75" s="974" t="s">
        <v>1879</v>
      </c>
    </row>
    <row r="76" spans="1:66" ht="11.25" customHeight="1">
      <c r="A76" s="980" t="s">
        <v>1880</v>
      </c>
      <c r="AZ76" s="1024" t="s">
        <v>1370</v>
      </c>
      <c r="BH76" s="974" t="s">
        <v>1881</v>
      </c>
      <c r="BJ76" s="974" t="s">
        <v>1882</v>
      </c>
      <c r="BL76" s="974" t="s">
        <v>1883</v>
      </c>
    </row>
    <row r="77" spans="1:66" ht="11.25" customHeight="1">
      <c r="A77" s="980" t="s">
        <v>1884</v>
      </c>
      <c r="AZ77" s="1024" t="s">
        <v>1398</v>
      </c>
    </row>
    <row r="78" spans="1:66" ht="11.25" customHeight="1">
      <c r="A78" s="980" t="s">
        <v>1885</v>
      </c>
      <c r="AZ78" s="1024" t="s">
        <v>1430</v>
      </c>
    </row>
    <row r="79" spans="1:66" ht="11.25" customHeight="1">
      <c r="A79" s="980" t="s">
        <v>1886</v>
      </c>
      <c r="AZ79" s="1024" t="s">
        <v>1460</v>
      </c>
      <c r="BH79" s="973" t="s">
        <v>1887</v>
      </c>
      <c r="BJ79" s="973" t="s">
        <v>1888</v>
      </c>
      <c r="BL79" s="973" t="s">
        <v>1889</v>
      </c>
    </row>
    <row r="80" spans="1:66" ht="11.25" customHeight="1">
      <c r="A80" s="980" t="s">
        <v>1890</v>
      </c>
      <c r="AZ80" s="1024" t="s">
        <v>1481</v>
      </c>
      <c r="BH80" s="974" t="s">
        <v>1891</v>
      </c>
      <c r="BJ80" s="974" t="s">
        <v>1892</v>
      </c>
      <c r="BL80" s="974" t="s">
        <v>1893</v>
      </c>
    </row>
    <row r="81" spans="1:66" ht="11.25" customHeight="1">
      <c r="A81" s="980" t="s">
        <v>1894</v>
      </c>
      <c r="AZ81" s="1024" t="s">
        <v>1498</v>
      </c>
      <c r="BH81" s="974" t="s">
        <v>1895</v>
      </c>
      <c r="BJ81" s="974" t="s">
        <v>1896</v>
      </c>
      <c r="BL81" s="974" t="s">
        <v>1897</v>
      </c>
    </row>
    <row r="82" spans="1:66" ht="11.25" customHeight="1">
      <c r="A82" s="980" t="s">
        <v>14</v>
      </c>
      <c r="AZ82" s="1024" t="s">
        <v>1512</v>
      </c>
      <c r="BH82" s="974" t="s">
        <v>1898</v>
      </c>
      <c r="BJ82" s="974" t="s">
        <v>1899</v>
      </c>
      <c r="BL82" s="974" t="s">
        <v>1900</v>
      </c>
    </row>
    <row r="83" spans="1:66" ht="11.25" customHeight="1">
      <c r="A83" s="980" t="s">
        <v>1901</v>
      </c>
      <c r="BH83" s="974" t="s">
        <v>1902</v>
      </c>
      <c r="BJ83" s="974" t="s">
        <v>1903</v>
      </c>
      <c r="BL83" s="974" t="s">
        <v>1904</v>
      </c>
    </row>
    <row r="84" spans="1:66" ht="11.25" customHeight="1">
      <c r="A84" s="980" t="s">
        <v>1905</v>
      </c>
      <c r="AZ84" s="973" t="s">
        <v>1906</v>
      </c>
    </row>
    <row r="85" spans="1:66" ht="11.25" customHeight="1">
      <c r="A85" s="1782" t="s">
        <v>1907</v>
      </c>
      <c r="AZ85" s="1024" t="s">
        <v>1908</v>
      </c>
    </row>
    <row r="86" spans="1:66" ht="11.25" customHeight="1">
      <c r="A86" s="980" t="s">
        <v>1909</v>
      </c>
      <c r="AZ86" s="1024" t="s">
        <v>1910</v>
      </c>
      <c r="BH86" s="973" t="s">
        <v>1911</v>
      </c>
      <c r="BJ86" s="973" t="s">
        <v>1912</v>
      </c>
      <c r="BL86" s="973" t="s">
        <v>1913</v>
      </c>
    </row>
    <row r="87" spans="1:66" ht="11.25" customHeight="1">
      <c r="A87" s="980" t="s">
        <v>1914</v>
      </c>
      <c r="AZ87" s="1024" t="s">
        <v>1915</v>
      </c>
      <c r="BH87" s="974" t="s">
        <v>1916</v>
      </c>
      <c r="BJ87" s="974" t="s">
        <v>1917</v>
      </c>
      <c r="BL87" s="974" t="s">
        <v>1918</v>
      </c>
    </row>
    <row r="88" spans="1:66" ht="11.25" customHeight="1">
      <c r="A88" s="980" t="s">
        <v>1919</v>
      </c>
      <c r="AZ88" s="1524"/>
      <c r="BH88" s="974" t="s">
        <v>1920</v>
      </c>
      <c r="BJ88" s="974" t="s">
        <v>1921</v>
      </c>
      <c r="BL88" s="974" t="s">
        <v>1922</v>
      </c>
    </row>
    <row r="89" spans="1:66" ht="11.25" customHeight="1">
      <c r="A89" s="980" t="s">
        <v>1923</v>
      </c>
      <c r="AZ89" s="973" t="s">
        <v>1924</v>
      </c>
    </row>
    <row r="90" spans="1:66" ht="11.25" customHeight="1">
      <c r="A90" s="980" t="s">
        <v>1925</v>
      </c>
      <c r="AZ90" s="1024" t="s">
        <v>1068</v>
      </c>
    </row>
    <row r="91" spans="1:66" ht="11.25" customHeight="1">
      <c r="A91" s="980" t="s">
        <v>1926</v>
      </c>
      <c r="AZ91" s="1024" t="s">
        <v>1104</v>
      </c>
      <c r="BH91" s="973" t="s">
        <v>1927</v>
      </c>
      <c r="BJ91" s="973" t="s">
        <v>1928</v>
      </c>
      <c r="BL91" s="973" t="s">
        <v>1929</v>
      </c>
    </row>
    <row r="92" spans="1:66" ht="11.25" customHeight="1">
      <c r="AZ92" s="1024" t="s">
        <v>1930</v>
      </c>
      <c r="BH92" s="974" t="s">
        <v>1931</v>
      </c>
      <c r="BJ92" s="974" t="s">
        <v>1932</v>
      </c>
      <c r="BL92" s="974" t="s">
        <v>1933</v>
      </c>
    </row>
    <row r="93" spans="1:66" ht="11.25" customHeight="1">
      <c r="AZ93" s="1024" t="s">
        <v>1934</v>
      </c>
      <c r="BH93" s="974" t="s">
        <v>1935</v>
      </c>
      <c r="BJ93" s="974" t="s">
        <v>1936</v>
      </c>
      <c r="BL93" s="974" t="s">
        <v>1937</v>
      </c>
    </row>
    <row r="94" spans="1:66" ht="11.25" customHeight="1">
      <c r="AZ94" s="1024" t="s">
        <v>1938</v>
      </c>
    </row>
    <row r="96" spans="1:66" ht="11.25" customHeight="1">
      <c r="AZ96" s="973" t="s">
        <v>1939</v>
      </c>
      <c r="BH96" s="973" t="s">
        <v>1940</v>
      </c>
      <c r="BJ96" s="973" t="s">
        <v>1941</v>
      </c>
      <c r="BL96" s="973" t="s">
        <v>1942</v>
      </c>
      <c r="BN96" s="973" t="s">
        <v>1943</v>
      </c>
    </row>
    <row r="97" spans="52:66" ht="11.25" customHeight="1">
      <c r="AZ97" s="1024" t="s">
        <v>1944</v>
      </c>
      <c r="BH97" s="974" t="s">
        <v>1945</v>
      </c>
      <c r="BJ97" s="974" t="s">
        <v>1946</v>
      </c>
      <c r="BL97" s="974" t="s">
        <v>1947</v>
      </c>
      <c r="BN97" s="974" t="s">
        <v>1948</v>
      </c>
    </row>
    <row r="98" spans="52:66" ht="11.25" customHeight="1">
      <c r="AZ98" s="1024" t="s">
        <v>1949</v>
      </c>
      <c r="BH98" s="974" t="s">
        <v>1950</v>
      </c>
      <c r="BJ98" s="974" t="s">
        <v>1951</v>
      </c>
      <c r="BL98" s="974" t="s">
        <v>1952</v>
      </c>
      <c r="BN98" s="974" t="s">
        <v>1953</v>
      </c>
    </row>
    <row r="99" spans="52:66" ht="11.25" customHeight="1">
      <c r="AZ99" s="1024" t="s">
        <v>1954</v>
      </c>
      <c r="BH99" s="974" t="s">
        <v>1955</v>
      </c>
      <c r="BJ99" s="974" t="s">
        <v>1956</v>
      </c>
      <c r="BL99" s="974" t="s">
        <v>1957</v>
      </c>
      <c r="BN99" s="974" t="s">
        <v>1958</v>
      </c>
    </row>
    <row r="100" spans="52:66" ht="11.25" customHeight="1">
      <c r="BJ100" s="974" t="s">
        <v>1558</v>
      </c>
      <c r="BL100" s="974" t="s">
        <v>1558</v>
      </c>
      <c r="BN100" s="974" t="s">
        <v>1959</v>
      </c>
    </row>
    <row r="101" spans="52:66" ht="11.25" customHeight="1">
      <c r="AZ101" s="1604" t="s">
        <v>1960</v>
      </c>
      <c r="BN101" s="974" t="s">
        <v>1961</v>
      </c>
    </row>
    <row r="102" spans="52:66" ht="11.25" customHeight="1">
      <c r="AZ102" s="1024" t="s">
        <v>1962</v>
      </c>
      <c r="BN102" s="974" t="s">
        <v>1963</v>
      </c>
    </row>
    <row r="103" spans="52:66" ht="11.25" customHeight="1">
      <c r="AZ103" s="1024" t="s">
        <v>1964</v>
      </c>
      <c r="BN103" s="974" t="s">
        <v>1965</v>
      </c>
    </row>
    <row r="104" spans="52:66" ht="11.25" customHeight="1">
      <c r="AZ104" s="1024" t="s">
        <v>706</v>
      </c>
      <c r="BN104" s="974" t="s">
        <v>1966</v>
      </c>
    </row>
    <row r="107" spans="52:66" ht="11.25" customHeight="1">
      <c r="BH107" s="973" t="s">
        <v>1967</v>
      </c>
      <c r="BJ107" s="973" t="s">
        <v>1968</v>
      </c>
      <c r="BL107" s="973" t="s">
        <v>1969</v>
      </c>
      <c r="BN107" s="973" t="s">
        <v>1970</v>
      </c>
    </row>
    <row r="108" spans="52:66" ht="11.25" customHeight="1">
      <c r="BH108" s="974" t="s">
        <v>1971</v>
      </c>
      <c r="BJ108" s="974" t="s">
        <v>1972</v>
      </c>
      <c r="BL108" s="974" t="s">
        <v>1639</v>
      </c>
      <c r="BN108" s="974" t="s">
        <v>1973</v>
      </c>
    </row>
    <row r="109" spans="52:66" ht="11.25" customHeight="1">
      <c r="BH109" s="974" t="s">
        <v>1974</v>
      </c>
    </row>
    <row r="110" spans="52:66" ht="11.25" customHeight="1">
      <c r="BH110" s="974" t="s">
        <v>1974</v>
      </c>
    </row>
    <row r="114" spans="60:60" ht="11.25" customHeight="1">
      <c r="BH114" s="973" t="s">
        <v>1975</v>
      </c>
    </row>
    <row r="115" spans="60:60" ht="11.25" customHeight="1">
      <c r="BH115" s="974" t="s">
        <v>1357</v>
      </c>
    </row>
    <row r="116" spans="60:60" ht="11.25" customHeight="1">
      <c r="BH116" s="974" t="s">
        <v>1385</v>
      </c>
    </row>
    <row r="117" spans="60:60" ht="11.25" customHeight="1">
      <c r="BH117" s="974" t="s">
        <v>1419</v>
      </c>
    </row>
    <row r="118" spans="60:60" ht="11.25" customHeight="1">
      <c r="BH118" s="974" t="s">
        <v>1452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4563"/>
    <col min="2" max="2" width="43.140625" style="4563" hidden="1"/>
    <col min="3" max="3" width="43.140625" style="4563"/>
    <col min="4" max="5" width="36.42578125" style="4563" customWidth="1"/>
    <col min="6" max="8" width="36.42578125" style="4564" customWidth="1"/>
  </cols>
  <sheetData>
    <row r="1" spans="1:8" ht="9" customHeight="1">
      <c r="A1" s="761" t="s">
        <v>1976</v>
      </c>
      <c r="B1" s="761"/>
      <c r="C1" s="891" t="s">
        <v>1977</v>
      </c>
      <c r="D1" s="890" t="s">
        <v>857</v>
      </c>
      <c r="E1" s="890" t="s">
        <v>903</v>
      </c>
      <c r="F1" s="890" t="s">
        <v>955</v>
      </c>
      <c r="G1" s="890" t="s">
        <v>941</v>
      </c>
      <c r="H1" s="890" t="s">
        <v>1753</v>
      </c>
    </row>
    <row r="2" spans="1:8" ht="9" customHeight="1">
      <c r="A2" s="892" t="s">
        <v>1978</v>
      </c>
      <c r="B2" s="892"/>
      <c r="C2" s="893" t="str">
        <f>INDEX(TEMPLATE_NUMBER_FORM_LIST,MATCH(TEMPLATE_SPHERE,TEMPLATE_SPHERE_LIST,0))</f>
        <v>10</v>
      </c>
      <c r="D2" s="892" t="s">
        <v>389</v>
      </c>
      <c r="E2" s="892" t="s">
        <v>157</v>
      </c>
      <c r="F2" s="894" t="s">
        <v>157</v>
      </c>
      <c r="G2" s="892" t="s">
        <v>157</v>
      </c>
      <c r="H2" s="895"/>
    </row>
    <row r="3" spans="1:8" ht="63" customHeight="1">
      <c r="A3" s="761"/>
      <c r="B3" s="761" t="s">
        <v>174</v>
      </c>
      <c r="C3" s="8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3" t="s">
        <v>1979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4"/>
      <c r="G3" s="895"/>
      <c r="H3" s="761"/>
    </row>
    <row r="4" spans="1:8" ht="243" customHeight="1">
      <c r="A4" s="761" t="s">
        <v>1980</v>
      </c>
      <c r="B4" s="761" t="s">
        <v>101</v>
      </c>
      <c r="C4" s="893" t="str">
        <f>IF(TEMPLATE_SPHERE="HEAT",D4,IF(TEMPLATE_SPHERE="TKO",H4,E4))</f>
        <v>Форма 1. Информация об организации, осуществляющей водоотведение (общая информация)</v>
      </c>
      <c r="D4" s="892" t="s">
        <v>1981</v>
      </c>
      <c r="E4" s="89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92"/>
      <c r="G4" s="892"/>
      <c r="H4" s="761" t="s">
        <v>1982</v>
      </c>
    </row>
    <row r="5" spans="1:8" ht="117" customHeight="1">
      <c r="A5" s="761" t="s">
        <v>1983</v>
      </c>
      <c r="B5" s="761" t="s">
        <v>88</v>
      </c>
      <c r="C5" s="8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61" t="s">
        <v>1984</v>
      </c>
      <c r="E5" s="76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5"/>
      <c r="G5" s="895"/>
      <c r="H5" s="761" t="s">
        <v>1985</v>
      </c>
    </row>
    <row r="6" spans="1:8" ht="45" customHeight="1">
      <c r="A6" s="761" t="s">
        <v>1986</v>
      </c>
      <c r="B6" s="761" t="s">
        <v>89</v>
      </c>
      <c r="C6" s="89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61" t="s">
        <v>1987</v>
      </c>
      <c r="E6" s="76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61"/>
      <c r="G6" s="761"/>
      <c r="H6" s="895"/>
    </row>
    <row r="7" spans="1:8" ht="45" customHeight="1">
      <c r="A7" s="761" t="s">
        <v>1988</v>
      </c>
      <c r="B7" s="761" t="s">
        <v>128</v>
      </c>
      <c r="C7" s="8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1" t="s">
        <v>1989</v>
      </c>
      <c r="E7" s="761" t="s">
        <v>1990</v>
      </c>
      <c r="F7" s="895"/>
      <c r="G7" s="895"/>
      <c r="H7" s="895"/>
    </row>
    <row r="8" spans="1:8" ht="108" customHeight="1">
      <c r="A8" s="761" t="s">
        <v>1991</v>
      </c>
      <c r="B8" s="761" t="s">
        <v>90</v>
      </c>
      <c r="C8" s="8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1" t="s">
        <v>1992</v>
      </c>
      <c r="E8" s="761" t="s">
        <v>1993</v>
      </c>
      <c r="F8" s="895"/>
      <c r="G8" s="895"/>
      <c r="H8" s="895"/>
    </row>
    <row r="9" spans="1:8" ht="99" customHeight="1">
      <c r="A9" s="761" t="s">
        <v>1994</v>
      </c>
      <c r="B9" s="761"/>
      <c r="C9" s="761" t="s">
        <v>1995</v>
      </c>
      <c r="D9" s="761"/>
      <c r="E9" s="761"/>
      <c r="F9" s="895"/>
      <c r="G9" s="895"/>
      <c r="H9" s="895"/>
    </row>
    <row r="10" spans="1:8" ht="126" customHeight="1">
      <c r="A10" s="761" t="s">
        <v>1996</v>
      </c>
      <c r="B10" s="761"/>
      <c r="C10" s="761" t="s">
        <v>1997</v>
      </c>
      <c r="D10" s="761"/>
      <c r="E10" s="761"/>
      <c r="F10" s="895"/>
      <c r="G10" s="895"/>
      <c r="H10" s="895"/>
    </row>
    <row r="11" spans="1:8" ht="108" customHeight="1">
      <c r="A11" s="761" t="s">
        <v>1998</v>
      </c>
      <c r="B11" s="761"/>
      <c r="C11" s="761" t="s">
        <v>1999</v>
      </c>
      <c r="D11" s="761"/>
      <c r="E11" s="761"/>
      <c r="F11" s="895"/>
      <c r="G11" s="895"/>
      <c r="H11" s="895"/>
    </row>
    <row r="12" spans="1:8" ht="54" customHeight="1">
      <c r="A12" s="761" t="s">
        <v>2000</v>
      </c>
      <c r="B12" s="761"/>
      <c r="C12" s="761" t="s">
        <v>2001</v>
      </c>
      <c r="D12" s="761"/>
      <c r="E12" s="761"/>
      <c r="F12" s="895"/>
      <c r="G12" s="895"/>
      <c r="H12" s="895"/>
    </row>
    <row r="13" spans="1:8" ht="45" customHeight="1">
      <c r="A13" s="761" t="s">
        <v>2002</v>
      </c>
      <c r="B13" s="761"/>
      <c r="C13" s="761" t="s">
        <v>2003</v>
      </c>
      <c r="D13" s="761"/>
      <c r="E13" s="761"/>
      <c r="F13" s="895"/>
      <c r="G13" s="895"/>
      <c r="H13" s="895"/>
    </row>
    <row r="14" spans="1:8" ht="117" customHeight="1">
      <c r="A14" s="761" t="s">
        <v>2004</v>
      </c>
      <c r="B14" s="761"/>
      <c r="C14" s="761" t="s">
        <v>2005</v>
      </c>
      <c r="D14" s="761"/>
      <c r="E14" s="761"/>
      <c r="F14" s="895"/>
      <c r="G14" s="895"/>
      <c r="H14" s="895"/>
    </row>
    <row r="15" spans="1:8" ht="117" customHeight="1">
      <c r="A15" s="761" t="s">
        <v>2006</v>
      </c>
      <c r="B15" s="761"/>
      <c r="C15" s="761" t="s">
        <v>2007</v>
      </c>
      <c r="D15" s="761"/>
      <c r="E15" s="761"/>
      <c r="F15" s="895"/>
      <c r="G15" s="895"/>
      <c r="H15" s="895"/>
    </row>
    <row r="16" spans="1:8" ht="63" customHeight="1">
      <c r="A16" s="761" t="s">
        <v>2008</v>
      </c>
      <c r="B16" s="761"/>
      <c r="C16" s="761" t="s">
        <v>2009</v>
      </c>
      <c r="D16" s="761"/>
      <c r="E16" s="761"/>
      <c r="F16" s="895"/>
      <c r="G16" s="895"/>
      <c r="H16" s="895"/>
    </row>
    <row r="17" spans="1:8" ht="54" customHeight="1">
      <c r="A17" s="761" t="s">
        <v>2010</v>
      </c>
      <c r="B17" s="761"/>
      <c r="C17" s="893" t="s">
        <v>2011</v>
      </c>
      <c r="D17" s="761"/>
      <c r="E17" s="761"/>
      <c r="F17" s="895"/>
      <c r="G17" s="895"/>
      <c r="H17" s="895"/>
    </row>
    <row r="18" spans="1:8" ht="27" customHeight="1">
      <c r="A18" s="761" t="s">
        <v>2012</v>
      </c>
      <c r="B18" s="761"/>
      <c r="C18" s="893" t="s">
        <v>2013</v>
      </c>
      <c r="D18" s="761"/>
      <c r="E18" s="761"/>
      <c r="F18" s="895"/>
      <c r="G18" s="895"/>
      <c r="H18" s="895"/>
    </row>
    <row r="19" spans="1:8" ht="54" customHeight="1">
      <c r="A19" s="761" t="s">
        <v>2014</v>
      </c>
      <c r="B19" s="761"/>
      <c r="C19" s="893" t="s">
        <v>2015</v>
      </c>
      <c r="D19" s="761"/>
      <c r="E19" s="761"/>
      <c r="F19" s="895"/>
      <c r="G19" s="895"/>
      <c r="H19" s="895"/>
    </row>
    <row r="20" spans="1:8" ht="36" customHeight="1">
      <c r="A20" s="761" t="s">
        <v>2016</v>
      </c>
      <c r="B20" s="761"/>
      <c r="C20" s="893" t="s">
        <v>2017</v>
      </c>
      <c r="D20" s="761"/>
      <c r="E20" s="761"/>
      <c r="F20" s="895"/>
      <c r="G20" s="895"/>
      <c r="H20" s="895"/>
    </row>
    <row r="21" spans="1:8" ht="36" customHeight="1">
      <c r="A21" s="761" t="s">
        <v>2018</v>
      </c>
      <c r="B21" s="761"/>
      <c r="C21" s="893" t="s">
        <v>2019</v>
      </c>
      <c r="D21" s="761"/>
      <c r="E21" s="761"/>
      <c r="F21" s="895"/>
      <c r="G21" s="895"/>
      <c r="H21" s="895"/>
    </row>
    <row r="22" spans="1:8" ht="27" customHeight="1">
      <c r="A22" s="761" t="s">
        <v>2020</v>
      </c>
      <c r="B22" s="761"/>
      <c r="C22" s="893" t="s">
        <v>2021</v>
      </c>
      <c r="D22" s="761"/>
      <c r="E22" s="761"/>
      <c r="F22" s="895"/>
      <c r="G22" s="895"/>
      <c r="H22" s="895"/>
    </row>
    <row r="23" spans="1:8" ht="36" customHeight="1">
      <c r="A23" s="761" t="s">
        <v>2022</v>
      </c>
      <c r="B23" s="761"/>
      <c r="C23" s="893" t="s">
        <v>2023</v>
      </c>
      <c r="D23" s="761"/>
      <c r="E23" s="761"/>
      <c r="F23" s="895"/>
      <c r="G23" s="895"/>
      <c r="H23" s="895"/>
    </row>
    <row r="24" spans="1:8" ht="28.5" customHeight="1">
      <c r="A24" s="761" t="s">
        <v>2024</v>
      </c>
      <c r="B24" s="761"/>
      <c r="C24" s="893" t="s">
        <v>2025</v>
      </c>
      <c r="D24" s="761"/>
      <c r="E24" s="761"/>
      <c r="F24" s="895"/>
      <c r="G24" s="895"/>
      <c r="H24" s="895"/>
    </row>
    <row r="25" spans="1:8" ht="36" customHeight="1">
      <c r="A25" s="761" t="s">
        <v>2026</v>
      </c>
      <c r="B25" s="761"/>
      <c r="C25" s="893" t="s">
        <v>2027</v>
      </c>
      <c r="D25" s="761"/>
      <c r="E25" s="761"/>
      <c r="F25" s="895"/>
      <c r="G25" s="895"/>
      <c r="H25" s="895"/>
    </row>
    <row r="26" spans="1:8" ht="27" customHeight="1">
      <c r="A26" s="761" t="s">
        <v>2028</v>
      </c>
      <c r="B26" s="761"/>
      <c r="C26" s="893" t="s">
        <v>2029</v>
      </c>
      <c r="D26" s="761"/>
      <c r="E26" s="761"/>
      <c r="F26" s="895"/>
      <c r="G26" s="895"/>
      <c r="H26" s="895"/>
    </row>
    <row r="27" spans="1:8" ht="36" customHeight="1">
      <c r="A27" s="761" t="s">
        <v>2030</v>
      </c>
      <c r="B27" s="761"/>
      <c r="C27" s="893" t="s">
        <v>2031</v>
      </c>
      <c r="D27" s="761"/>
      <c r="E27" s="761"/>
      <c r="F27" s="895"/>
      <c r="G27" s="895"/>
      <c r="H27" s="895"/>
    </row>
    <row r="28" spans="1:8" ht="28.5" customHeight="1">
      <c r="A28" s="761" t="s">
        <v>2032</v>
      </c>
      <c r="B28" s="761"/>
      <c r="C28" s="893" t="s">
        <v>2033</v>
      </c>
      <c r="D28" s="761"/>
      <c r="E28" s="761"/>
      <c r="F28" s="895"/>
      <c r="G28" s="895"/>
      <c r="H28" s="895"/>
    </row>
    <row r="29" spans="1:8" ht="126" customHeight="1">
      <c r="A29" s="761" t="s">
        <v>2034</v>
      </c>
      <c r="B29" s="761" t="s">
        <v>1706</v>
      </c>
      <c r="C29" s="89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61" t="s">
        <v>2035</v>
      </c>
      <c r="E29" s="76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95"/>
      <c r="G29" s="895"/>
      <c r="H29" s="761" t="s">
        <v>2036</v>
      </c>
    </row>
    <row r="30" spans="1:8" ht="36" customHeight="1">
      <c r="A30" s="761" t="s">
        <v>2037</v>
      </c>
      <c r="B30" s="761"/>
      <c r="C30" s="8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61" t="s">
        <v>2038</v>
      </c>
      <c r="E30" s="76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95"/>
      <c r="G30" s="895"/>
      <c r="H30" s="895"/>
    </row>
    <row r="31" spans="1:8" ht="54" customHeight="1">
      <c r="A31" s="761" t="s">
        <v>2039</v>
      </c>
      <c r="B31" s="761"/>
      <c r="C31" s="893" t="str">
        <f>IF(TEMPLATE_SPHERE="HEAT",D31,IF(TEMPLATE_SPHERE="TKO",H31,E31))</f>
        <v>Форма 1. Информация об организации, осуществляющей водоотведение (общая информация)</v>
      </c>
      <c r="D31" s="761" t="s">
        <v>2040</v>
      </c>
      <c r="E31" s="76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95"/>
      <c r="G31" s="895"/>
      <c r="H31" s="895"/>
    </row>
    <row r="32" spans="1:8" ht="198" customHeight="1">
      <c r="A32" s="761" t="s">
        <v>2041</v>
      </c>
      <c r="B32" s="761"/>
      <c r="C32" s="893" t="str">
        <f>IF(TEMPLATE_SPHERE="HEAT",D32,IF(TEMPLATE_SPHERE="TKO",H32,E32))</f>
        <v>Форма 7. Информация об инвестиционных программах организации водоотведения и отчетах об их исполнении</v>
      </c>
      <c r="D32" s="761" t="s">
        <v>2042</v>
      </c>
      <c r="E32" s="76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95"/>
      <c r="G32" s="895"/>
      <c r="H32" s="761" t="s">
        <v>2043</v>
      </c>
    </row>
    <row r="33" spans="1:8" ht="9" customHeight="1">
      <c r="A33" s="761"/>
      <c r="B33" s="761"/>
      <c r="C33" s="893"/>
      <c r="D33" s="761"/>
      <c r="E33" s="761"/>
      <c r="F33" s="895"/>
      <c r="G33" s="895"/>
      <c r="H33" s="895"/>
    </row>
    <row r="34" spans="1:8" ht="9" customHeight="1">
      <c r="A34" s="761"/>
      <c r="B34" s="761" t="s">
        <v>1642</v>
      </c>
      <c r="C34" s="893">
        <f>INDEX(TEMPLATE_NAME_FORM_LIST,B34,MATCH(TEMPLATE_SPHERE,TEMPLATE_SPHERE_LIST,0))</f>
        <v>0</v>
      </c>
      <c r="D34" s="761"/>
      <c r="E34" s="761"/>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4563"/>
    <col min="3" max="7" width="8" style="4566" customWidth="1"/>
    <col min="8" max="12" width="8.5703125" style="4566" customWidth="1"/>
    <col min="13" max="14" width="27.7109375" style="4566" customWidth="1"/>
    <col min="15" max="19" width="5.140625" style="4566" customWidth="1"/>
    <col min="20" max="24" width="27.7109375" style="4566" customWidth="1"/>
    <col min="25" max="25" width="1.85546875" style="4567" customWidth="1"/>
    <col min="26" max="26" width="27.7109375" style="4563" customWidth="1"/>
    <col min="27" max="27" width="27.7109375" style="4568" customWidth="1"/>
    <col min="28" max="29" width="27.7109375" style="4563" customWidth="1"/>
    <col min="30" max="30" width="3.85546875" style="4563" customWidth="1"/>
    <col min="31" max="34" width="9.140625" style="4563"/>
  </cols>
  <sheetData>
    <row r="1" spans="1:34" s="4565" customFormat="1" ht="18" customHeight="1">
      <c r="A1" s="812"/>
      <c r="B1" s="812"/>
      <c r="C1" s="812" t="s">
        <v>2044</v>
      </c>
      <c r="D1" s="812"/>
      <c r="E1" s="812"/>
      <c r="F1" s="812"/>
      <c r="G1" s="812"/>
      <c r="H1" s="812" t="s">
        <v>2045</v>
      </c>
      <c r="I1" s="812"/>
      <c r="J1" s="812"/>
      <c r="K1" s="812"/>
      <c r="L1" s="812"/>
      <c r="M1" s="812" t="s">
        <v>2046</v>
      </c>
      <c r="N1" s="812" t="s">
        <v>2047</v>
      </c>
      <c r="O1" s="5000" t="s">
        <v>2048</v>
      </c>
      <c r="P1" s="5000"/>
      <c r="Q1" s="5000"/>
      <c r="R1" s="5000"/>
      <c r="S1" s="5000"/>
      <c r="T1" s="5000" t="s">
        <v>2046</v>
      </c>
      <c r="U1" s="5000"/>
      <c r="V1" s="5000"/>
      <c r="W1" s="5000"/>
      <c r="X1" s="5000"/>
      <c r="Y1" s="908"/>
      <c r="Z1" s="5000" t="s">
        <v>2049</v>
      </c>
      <c r="AA1" s="5000"/>
      <c r="AB1" s="5000"/>
      <c r="AC1" s="5000"/>
      <c r="AD1" s="5000"/>
    </row>
    <row r="2" spans="1:34" ht="18" customHeight="1">
      <c r="A2" s="761"/>
      <c r="B2" s="761"/>
      <c r="C2" s="757" t="s">
        <v>857</v>
      </c>
      <c r="D2" s="757" t="s">
        <v>903</v>
      </c>
      <c r="E2" s="757" t="s">
        <v>955</v>
      </c>
      <c r="F2" s="757" t="s">
        <v>941</v>
      </c>
      <c r="G2" s="757" t="s">
        <v>1753</v>
      </c>
      <c r="H2" s="758"/>
      <c r="I2" s="758"/>
      <c r="J2" s="758"/>
      <c r="K2" s="758"/>
      <c r="L2" s="758"/>
      <c r="M2" s="758"/>
      <c r="N2" s="758"/>
      <c r="O2" s="757" t="s">
        <v>857</v>
      </c>
      <c r="P2" s="757" t="s">
        <v>903</v>
      </c>
      <c r="Q2" s="757" t="s">
        <v>941</v>
      </c>
      <c r="R2" s="757" t="s">
        <v>955</v>
      </c>
      <c r="S2" s="757" t="s">
        <v>1753</v>
      </c>
      <c r="T2" s="757" t="s">
        <v>857</v>
      </c>
      <c r="U2" s="757" t="s">
        <v>903</v>
      </c>
      <c r="V2" s="757" t="s">
        <v>941</v>
      </c>
      <c r="W2" s="757" t="s">
        <v>955</v>
      </c>
      <c r="X2" s="757" t="s">
        <v>1753</v>
      </c>
      <c r="Y2" s="757"/>
      <c r="Z2" s="757" t="s">
        <v>857</v>
      </c>
      <c r="AA2" s="765" t="s">
        <v>903</v>
      </c>
      <c r="AB2" s="757" t="s">
        <v>941</v>
      </c>
      <c r="AC2" s="757" t="s">
        <v>955</v>
      </c>
      <c r="AD2" s="757" t="s">
        <v>1753</v>
      </c>
    </row>
    <row r="3" spans="1:34" ht="162" customHeight="1">
      <c r="A3" s="760" t="s">
        <v>22</v>
      </c>
      <c r="B3" s="760"/>
      <c r="C3" s="5004" t="s">
        <v>2050</v>
      </c>
      <c r="D3" s="5005"/>
      <c r="E3" s="5005"/>
      <c r="F3" s="5006"/>
      <c r="G3" s="758"/>
      <c r="H3" s="758"/>
      <c r="I3" s="758"/>
      <c r="J3" s="758"/>
      <c r="K3" s="758"/>
      <c r="L3" s="758"/>
      <c r="M3" s="758"/>
      <c r="N3" s="759"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8"/>
      <c r="P3" s="758"/>
      <c r="Q3" s="758"/>
      <c r="R3" s="758"/>
      <c r="S3" s="758"/>
      <c r="T3" s="758"/>
      <c r="U3" s="758"/>
      <c r="V3" s="758"/>
      <c r="W3" s="758"/>
      <c r="X3" s="758"/>
      <c r="Y3" s="909"/>
      <c r="Z3" s="761" t="s">
        <v>2051</v>
      </c>
      <c r="AA3" s="758" t="s">
        <v>2052</v>
      </c>
      <c r="AB3" s="761" t="s">
        <v>2053</v>
      </c>
      <c r="AC3" s="761" t="s">
        <v>2054</v>
      </c>
      <c r="AD3" s="761"/>
      <c r="AG3" s="761"/>
      <c r="AH3" s="761"/>
    </row>
    <row r="4" spans="1:34" ht="9" customHeight="1">
      <c r="A4" s="760"/>
      <c r="B4" s="760"/>
      <c r="C4" s="758"/>
      <c r="D4" s="758"/>
      <c r="E4" s="758"/>
      <c r="F4" s="758"/>
      <c r="G4" s="758"/>
      <c r="H4" s="758"/>
      <c r="I4" s="758"/>
      <c r="J4" s="758"/>
      <c r="K4" s="758"/>
      <c r="L4" s="758"/>
      <c r="M4" s="758"/>
      <c r="N4" s="758"/>
      <c r="O4" s="758"/>
      <c r="P4" s="758"/>
      <c r="Q4" s="758"/>
      <c r="R4" s="758"/>
      <c r="S4" s="758"/>
      <c r="T4" s="758"/>
      <c r="U4" s="758"/>
      <c r="V4" s="758"/>
      <c r="W4" s="758"/>
      <c r="X4" s="758"/>
      <c r="Y4" s="909"/>
      <c r="Z4" s="761"/>
      <c r="AA4" s="764"/>
      <c r="AB4" s="761"/>
      <c r="AC4" s="761"/>
      <c r="AD4" s="761"/>
    </row>
    <row r="5" spans="1:34" ht="9" customHeight="1">
      <c r="A5" s="760"/>
      <c r="B5" s="760"/>
      <c r="C5" s="758"/>
      <c r="D5" s="758"/>
      <c r="E5" s="758"/>
      <c r="F5" s="758"/>
      <c r="G5" s="758"/>
      <c r="H5" s="758"/>
      <c r="I5" s="758"/>
      <c r="J5" s="758"/>
      <c r="K5" s="758"/>
      <c r="L5" s="758"/>
      <c r="M5" s="758"/>
      <c r="N5" s="758"/>
      <c r="O5" s="758"/>
      <c r="P5" s="758"/>
      <c r="Q5" s="758"/>
      <c r="R5" s="758"/>
      <c r="S5" s="758"/>
      <c r="T5" s="758"/>
      <c r="U5" s="758"/>
      <c r="V5" s="758"/>
      <c r="W5" s="758"/>
      <c r="X5" s="758"/>
      <c r="Y5" s="909"/>
      <c r="Z5" s="761"/>
      <c r="AA5" s="764"/>
      <c r="AB5" s="761"/>
      <c r="AC5" s="761"/>
      <c r="AD5" s="761"/>
    </row>
    <row r="6" spans="1:34" ht="9" customHeight="1">
      <c r="A6" s="760"/>
      <c r="B6" s="760"/>
      <c r="C6" s="758"/>
      <c r="D6" s="758"/>
      <c r="E6" s="758"/>
      <c r="F6" s="758"/>
      <c r="G6" s="758"/>
      <c r="H6" s="758"/>
      <c r="I6" s="758"/>
      <c r="J6" s="758"/>
      <c r="K6" s="758"/>
      <c r="L6" s="758"/>
      <c r="M6" s="758"/>
      <c r="N6" s="758"/>
      <c r="O6" s="758"/>
      <c r="P6" s="758"/>
      <c r="Q6" s="758"/>
      <c r="R6" s="758"/>
      <c r="S6" s="758"/>
      <c r="T6" s="758"/>
      <c r="U6" s="758"/>
      <c r="V6" s="758"/>
      <c r="W6" s="758"/>
      <c r="X6" s="758"/>
      <c r="Y6" s="909"/>
      <c r="Z6" s="761"/>
      <c r="AA6" s="764"/>
      <c r="AB6" s="761"/>
      <c r="AC6" s="761"/>
      <c r="AD6" s="761"/>
    </row>
    <row r="7" spans="1:34" ht="9" customHeight="1">
      <c r="A7" s="760"/>
      <c r="B7" s="760"/>
      <c r="C7" s="758"/>
      <c r="D7" s="758"/>
      <c r="E7" s="758"/>
      <c r="F7" s="758"/>
      <c r="G7" s="758"/>
      <c r="H7" s="758"/>
      <c r="I7" s="758"/>
      <c r="J7" s="758"/>
      <c r="K7" s="758"/>
      <c r="L7" s="758"/>
      <c r="M7" s="758"/>
      <c r="N7" s="758"/>
      <c r="O7" s="758"/>
      <c r="P7" s="758"/>
      <c r="Q7" s="758"/>
      <c r="R7" s="758"/>
      <c r="S7" s="758"/>
      <c r="T7" s="758"/>
      <c r="U7" s="758"/>
      <c r="V7" s="758"/>
      <c r="W7" s="758"/>
      <c r="X7" s="758"/>
      <c r="Y7" s="909"/>
      <c r="Z7" s="761"/>
      <c r="AA7" s="764"/>
      <c r="AB7" s="761"/>
      <c r="AC7" s="761"/>
      <c r="AD7" s="761"/>
    </row>
    <row r="8" spans="1:34" ht="9" customHeight="1">
      <c r="A8" s="760"/>
      <c r="B8" s="760"/>
      <c r="C8" s="758"/>
      <c r="D8" s="758"/>
      <c r="E8" s="758"/>
      <c r="F8" s="758"/>
      <c r="G8" s="758"/>
      <c r="H8" s="758"/>
      <c r="I8" s="758"/>
      <c r="J8" s="758"/>
      <c r="K8" s="758"/>
      <c r="L8" s="758"/>
      <c r="M8" s="758"/>
      <c r="N8" s="758"/>
      <c r="O8" s="758"/>
      <c r="P8" s="758"/>
      <c r="Q8" s="758"/>
      <c r="R8" s="758"/>
      <c r="S8" s="758"/>
      <c r="T8" s="758"/>
      <c r="U8" s="758"/>
      <c r="V8" s="758"/>
      <c r="W8" s="758"/>
      <c r="X8" s="758"/>
      <c r="Y8" s="909"/>
      <c r="Z8" s="761"/>
      <c r="AA8" s="764"/>
      <c r="AB8" s="761"/>
      <c r="AC8" s="761"/>
      <c r="AD8" s="761"/>
    </row>
    <row r="9" spans="1:34" ht="9" customHeight="1">
      <c r="A9" s="760"/>
      <c r="B9" s="760"/>
      <c r="C9" s="758"/>
      <c r="D9" s="758"/>
      <c r="E9" s="758"/>
      <c r="F9" s="758"/>
      <c r="G9" s="758"/>
      <c r="H9" s="758"/>
      <c r="I9" s="758"/>
      <c r="J9" s="758"/>
      <c r="K9" s="758"/>
      <c r="L9" s="758"/>
      <c r="M9" s="758"/>
      <c r="N9" s="758"/>
      <c r="O9" s="758"/>
      <c r="P9" s="758"/>
      <c r="Q9" s="758"/>
      <c r="R9" s="758"/>
      <c r="S9" s="758"/>
      <c r="T9" s="758"/>
      <c r="U9" s="758"/>
      <c r="V9" s="758"/>
      <c r="W9" s="758"/>
      <c r="X9" s="758"/>
      <c r="Y9" s="909"/>
      <c r="Z9" s="761"/>
      <c r="AA9" s="764"/>
      <c r="AB9" s="761"/>
      <c r="AC9" s="761"/>
      <c r="AD9" s="761"/>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5001" t="s">
        <v>29</v>
      </c>
      <c r="B11" s="813">
        <v>1</v>
      </c>
      <c r="C11" s="5007" t="s">
        <v>1693</v>
      </c>
      <c r="D11" s="5007" t="s">
        <v>1689</v>
      </c>
      <c r="E11" s="5007" t="s">
        <v>1785</v>
      </c>
      <c r="F11" s="5007" t="s">
        <v>2055</v>
      </c>
      <c r="G11" s="5007"/>
      <c r="H11" s="812" t="s">
        <v>2056</v>
      </c>
      <c r="I11" s="812"/>
      <c r="J11" s="812"/>
      <c r="K11" s="812"/>
      <c r="L11" s="812"/>
      <c r="M11" s="759" t="str">
        <f>IF(TEMPLATE_SPHERE="HEAT",T11,U11)</f>
        <v xml:space="preserve">Количество поданных заявлений </v>
      </c>
      <c r="N11" s="75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8"/>
      <c r="P11" s="758"/>
      <c r="Q11" s="758"/>
      <c r="R11" s="758"/>
      <c r="S11" s="758"/>
      <c r="T11" s="758" t="s">
        <v>2057</v>
      </c>
      <c r="U11" s="758" t="s">
        <v>2058</v>
      </c>
      <c r="V11" s="758"/>
      <c r="W11" s="758"/>
      <c r="X11" s="758"/>
      <c r="Y11" s="909"/>
      <c r="Z11" s="761" t="s">
        <v>2059</v>
      </c>
      <c r="AA11" s="76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61"/>
      <c r="AC11" s="761"/>
      <c r="AD11" s="761"/>
    </row>
    <row r="12" spans="1:34" ht="45" customHeight="1">
      <c r="A12" s="5001"/>
      <c r="B12" s="813">
        <v>2</v>
      </c>
      <c r="C12" s="5008"/>
      <c r="D12" s="5008"/>
      <c r="E12" s="5008"/>
      <c r="F12" s="5008"/>
      <c r="G12" s="5008"/>
      <c r="H12" s="812" t="s">
        <v>2060</v>
      </c>
      <c r="I12" s="812"/>
      <c r="J12" s="812"/>
      <c r="K12" s="812"/>
      <c r="L12" s="812"/>
      <c r="M12" s="759" t="str">
        <f>IF(TEMPLATE_SPHERE="HEAT",T12,U12)</f>
        <v xml:space="preserve">Количество исполненных заявлений </v>
      </c>
      <c r="N12" s="75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8"/>
      <c r="P12" s="758"/>
      <c r="Q12" s="758"/>
      <c r="R12" s="758"/>
      <c r="S12" s="758"/>
      <c r="T12" s="758" t="s">
        <v>2061</v>
      </c>
      <c r="U12" s="758" t="s">
        <v>2062</v>
      </c>
      <c r="V12" s="758"/>
      <c r="W12" s="758"/>
      <c r="X12" s="758"/>
      <c r="Y12" s="909"/>
      <c r="Z12" s="761" t="s">
        <v>2063</v>
      </c>
      <c r="AA12" s="76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61"/>
      <c r="AC12" s="761"/>
      <c r="AD12" s="761"/>
    </row>
    <row r="13" spans="1:34" ht="72" customHeight="1">
      <c r="A13" s="5001"/>
      <c r="B13" s="813">
        <v>3</v>
      </c>
      <c r="C13" s="5008"/>
      <c r="D13" s="5008"/>
      <c r="E13" s="5008"/>
      <c r="F13" s="5008"/>
      <c r="G13" s="5008"/>
      <c r="H13" s="5000" t="s">
        <v>2064</v>
      </c>
      <c r="I13" s="812"/>
      <c r="J13" s="812"/>
      <c r="K13" s="812"/>
      <c r="L13" s="812"/>
      <c r="M13" s="759" t="str">
        <f>IF(TEMPLATE_SPHERE="HEAT",T13,U13)</f>
        <v>Количество заявлений о заключении договоров о подключении (технологическом присоединении)</v>
      </c>
      <c r="N13" s="759"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8"/>
      <c r="P13" s="759"/>
      <c r="Q13" s="759"/>
      <c r="R13" s="759"/>
      <c r="S13" s="758"/>
      <c r="T13" s="758" t="s">
        <v>2065</v>
      </c>
      <c r="U13" s="759" t="s">
        <v>2066</v>
      </c>
      <c r="V13" s="759"/>
      <c r="W13" s="759"/>
      <c r="X13" s="758"/>
      <c r="Y13" s="909"/>
      <c r="Z13" s="761" t="s">
        <v>2067</v>
      </c>
      <c r="AA13" s="76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61"/>
      <c r="AC13" s="761"/>
      <c r="AD13" s="761"/>
    </row>
    <row r="14" spans="1:34" ht="45" customHeight="1">
      <c r="A14" s="5001"/>
      <c r="B14" s="813">
        <v>4</v>
      </c>
      <c r="C14" s="5008"/>
      <c r="D14" s="5008"/>
      <c r="E14" s="5008"/>
      <c r="F14" s="5008"/>
      <c r="G14" s="5008"/>
      <c r="H14" s="5000"/>
      <c r="I14" s="815"/>
      <c r="J14" s="815"/>
      <c r="K14" s="815"/>
      <c r="L14" s="815"/>
      <c r="M14" s="762"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5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8"/>
      <c r="P14" s="759"/>
      <c r="Q14" s="759"/>
      <c r="R14" s="759"/>
      <c r="S14" s="758"/>
      <c r="T14" s="758" t="s">
        <v>2068</v>
      </c>
      <c r="U14" s="75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59"/>
      <c r="W14" s="759"/>
      <c r="X14" s="758"/>
      <c r="Y14" s="909"/>
      <c r="Z14" s="761" t="s">
        <v>2069</v>
      </c>
      <c r="AA14" s="764" t="s">
        <v>2069</v>
      </c>
      <c r="AB14" s="761"/>
      <c r="AC14" s="761"/>
      <c r="AD14" s="761"/>
    </row>
    <row r="15" spans="1:34" ht="108" customHeight="1">
      <c r="A15" s="5001"/>
      <c r="B15" s="813">
        <v>5</v>
      </c>
      <c r="C15" s="5008"/>
      <c r="D15" s="5008"/>
      <c r="E15" s="5008"/>
      <c r="F15" s="5008"/>
      <c r="G15" s="5008"/>
      <c r="H15" s="5002" t="s">
        <v>2070</v>
      </c>
      <c r="I15" s="814"/>
      <c r="J15" s="814"/>
      <c r="K15" s="814"/>
      <c r="L15" s="814"/>
      <c r="M15" s="764"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3"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8"/>
      <c r="P15" s="759"/>
      <c r="Q15" s="759"/>
      <c r="R15" s="759"/>
      <c r="S15" s="758"/>
      <c r="T15" s="758" t="s">
        <v>2071</v>
      </c>
      <c r="U15" s="75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59"/>
      <c r="W15" s="759"/>
      <c r="X15" s="758"/>
      <c r="Y15" s="909"/>
      <c r="Z15" s="761" t="s">
        <v>2072</v>
      </c>
      <c r="AA15" s="76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61"/>
      <c r="AC15" s="761"/>
      <c r="AD15" s="761"/>
    </row>
    <row r="16" spans="1:34" ht="108" customHeight="1">
      <c r="A16" s="813"/>
      <c r="B16" s="813">
        <v>6</v>
      </c>
      <c r="C16" s="5009"/>
      <c r="D16" s="5009"/>
      <c r="E16" s="5009"/>
      <c r="F16" s="5009"/>
      <c r="G16" s="5009"/>
      <c r="H16" s="5003"/>
      <c r="I16" s="872"/>
      <c r="J16" s="872"/>
      <c r="K16" s="872"/>
      <c r="L16" s="872"/>
      <c r="M16" s="806"/>
      <c r="N16" s="763"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8"/>
      <c r="P16" s="759"/>
      <c r="Q16" s="759"/>
      <c r="R16" s="759"/>
      <c r="S16" s="758"/>
      <c r="T16" s="758"/>
      <c r="U16" s="759"/>
      <c r="V16" s="759"/>
      <c r="W16" s="759"/>
      <c r="X16" s="758"/>
      <c r="Y16" s="909"/>
      <c r="Z16" s="761" t="s">
        <v>2072</v>
      </c>
      <c r="AA16" s="76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61"/>
      <c r="AC16" s="761"/>
      <c r="AD16" s="761"/>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60" t="s">
        <v>1788</v>
      </c>
      <c r="B18" s="813">
        <v>1</v>
      </c>
      <c r="C18" s="758" t="s">
        <v>2056</v>
      </c>
      <c r="D18" s="877" t="s">
        <v>2056</v>
      </c>
      <c r="E18" s="758" t="s">
        <v>2056</v>
      </c>
      <c r="F18" s="758" t="s">
        <v>2056</v>
      </c>
      <c r="G18" s="758"/>
      <c r="H18" s="910"/>
      <c r="I18" s="913">
        <f t="shared" ref="I18:I49" si="1">INDEX(TEMPLATE_NUMBER_POINT_FHD,B18,MATCH(TEMPLATE_SPHERE,TEMPLATE_SPHERE_LIST_FOR_NOTE,0))</f>
        <v>1</v>
      </c>
      <c r="J18" s="913" t="str">
        <f t="shared" ref="J18:J49" si="2">INDEX(TEMPLATE_DATA_POINT_FHD,B18,MATCH(TEMPLATE_SPHERE,TEMPLATE_SPHERE_LIST_FOR_NOTE,0))</f>
        <v>Выручка от регулируемых видов деятельности в сфере водоотведения</v>
      </c>
      <c r="K18" s="913" t="str">
        <f t="shared" ref="K18:K49" si="3">INDEX(TEMPLATE_NOTE_POINT_FHD,B18,MATCH(TEMPLATE_SPHERE,TEMPLATE_SPHERE_LIST_FOR_NOTE,0))</f>
        <v>Указывается выручка с распределением по видам деятельности.</v>
      </c>
      <c r="L18" s="759">
        <f t="shared" ref="L18:L49" si="4">IF(I18=0,"",I18)</f>
        <v>1</v>
      </c>
      <c r="M18" s="759" t="str">
        <f t="shared" ref="M18:M49" si="5">IF(J18=0,"",J18)</f>
        <v>Выручка от регулируемых видов деятельности в сфере водоотведения</v>
      </c>
      <c r="N18" s="759" t="str">
        <f t="shared" ref="N18:N49" si="6">IF(K18=0,"",K18)</f>
        <v>Указывается выручка с распределением по видам деятельности.</v>
      </c>
      <c r="O18" s="867">
        <v>1</v>
      </c>
      <c r="P18" s="867">
        <v>1</v>
      </c>
      <c r="Q18" s="867">
        <v>1</v>
      </c>
      <c r="R18" s="867">
        <v>1</v>
      </c>
      <c r="S18" s="867"/>
      <c r="T18" s="874" t="s">
        <v>2073</v>
      </c>
      <c r="U18" s="761" t="s">
        <v>2074</v>
      </c>
      <c r="V18" s="761" t="s">
        <v>2075</v>
      </c>
      <c r="W18" s="761" t="s">
        <v>2076</v>
      </c>
      <c r="X18" s="758"/>
      <c r="Y18" s="909"/>
      <c r="Z18" s="761" t="s">
        <v>2077</v>
      </c>
      <c r="AA18" s="764" t="s">
        <v>2078</v>
      </c>
      <c r="AB18" s="764" t="s">
        <v>2078</v>
      </c>
      <c r="AC18" s="764" t="s">
        <v>2078</v>
      </c>
      <c r="AD18" s="761"/>
    </row>
    <row r="19" spans="1:30" ht="36" customHeight="1">
      <c r="A19" s="760"/>
      <c r="B19" s="813">
        <v>2</v>
      </c>
      <c r="C19" s="758" t="s">
        <v>2060</v>
      </c>
      <c r="D19" s="877" t="s">
        <v>2060</v>
      </c>
      <c r="E19" s="758" t="s">
        <v>2060</v>
      </c>
      <c r="F19" s="758" t="s">
        <v>2060</v>
      </c>
      <c r="G19" s="758"/>
      <c r="H19" s="910"/>
      <c r="I19" s="913">
        <f t="shared" si="1"/>
        <v>2</v>
      </c>
      <c r="J19" s="913" t="str">
        <f t="shared" si="2"/>
        <v>Себестоимость производимых товаров (оказываемых услуг) по регулируемым видам деятельности в сфере водоотведения, включая:</v>
      </c>
      <c r="K19" s="913" t="str">
        <f t="shared" si="3"/>
        <v>Указывается суммарная себестоимость производимых товаров.</v>
      </c>
      <c r="L19" s="759">
        <f t="shared" si="4"/>
        <v>2</v>
      </c>
      <c r="M19" s="759" t="str">
        <f t="shared" si="5"/>
        <v>Себестоимость производимых товаров (оказываемых услуг) по регулируемым видам деятельности в сфере водоотведения, включая:</v>
      </c>
      <c r="N19" s="759" t="str">
        <f t="shared" si="6"/>
        <v>Указывается суммарная себестоимость производимых товаров.</v>
      </c>
      <c r="O19" s="867">
        <v>2</v>
      </c>
      <c r="P19" s="867">
        <v>2</v>
      </c>
      <c r="Q19" s="867">
        <v>2</v>
      </c>
      <c r="R19" s="867">
        <v>2</v>
      </c>
      <c r="S19" s="867"/>
      <c r="T19" s="874" t="s">
        <v>2079</v>
      </c>
      <c r="U19" s="761" t="s">
        <v>2080</v>
      </c>
      <c r="V19" s="761" t="s">
        <v>2081</v>
      </c>
      <c r="W19" s="761" t="s">
        <v>2082</v>
      </c>
      <c r="X19" s="758"/>
      <c r="Y19" s="909"/>
      <c r="Z19" s="761" t="s">
        <v>2083</v>
      </c>
      <c r="AA19" s="764" t="s">
        <v>2083</v>
      </c>
      <c r="AB19" s="764" t="s">
        <v>2083</v>
      </c>
      <c r="AC19" s="764" t="s">
        <v>2083</v>
      </c>
      <c r="AD19" s="761"/>
    </row>
    <row r="20" spans="1:30" ht="27" customHeight="1">
      <c r="A20" s="760"/>
      <c r="B20" s="813">
        <v>3</v>
      </c>
      <c r="C20" s="758">
        <v>1</v>
      </c>
      <c r="D20" s="877"/>
      <c r="E20" s="758"/>
      <c r="F20" s="758"/>
      <c r="G20" s="758"/>
      <c r="H20" s="910"/>
      <c r="I20" s="913" t="str">
        <f t="shared" si="1"/>
        <v>2.1</v>
      </c>
      <c r="J20" s="913" t="str">
        <f t="shared" si="2"/>
        <v>Расходы на оплату услуг по приему, транспортировке и очистке сточных вод другими организациями</v>
      </c>
      <c r="K20" s="913">
        <f t="shared" si="3"/>
        <v>0</v>
      </c>
      <c r="L20" s="759" t="str">
        <f t="shared" si="4"/>
        <v>2.1</v>
      </c>
      <c r="M20" s="759" t="str">
        <f t="shared" si="5"/>
        <v>Расходы на оплату услуг по приему, транспортировке и очистке сточных вод другими организациями</v>
      </c>
      <c r="N20" s="759" t="str">
        <f t="shared" si="6"/>
        <v/>
      </c>
      <c r="O20" s="867" t="s">
        <v>757</v>
      </c>
      <c r="P20" s="867" t="s">
        <v>757</v>
      </c>
      <c r="Q20" s="867" t="s">
        <v>757</v>
      </c>
      <c r="R20" s="867" t="s">
        <v>757</v>
      </c>
      <c r="S20" s="867"/>
      <c r="T20" s="874" t="s">
        <v>2084</v>
      </c>
      <c r="U20" s="761" t="s">
        <v>2085</v>
      </c>
      <c r="V20" s="761" t="s">
        <v>2086</v>
      </c>
      <c r="W20" s="761" t="s">
        <v>2087</v>
      </c>
      <c r="X20" s="758"/>
      <c r="Y20" s="909"/>
      <c r="Z20" s="761"/>
      <c r="AA20" s="764"/>
      <c r="AB20" s="761"/>
      <c r="AC20" s="761"/>
      <c r="AD20" s="761"/>
    </row>
    <row r="21" spans="1:30" ht="36" customHeight="1">
      <c r="A21" s="760"/>
      <c r="B21" s="813">
        <v>4</v>
      </c>
      <c r="C21" s="758">
        <v>2</v>
      </c>
      <c r="D21" s="877"/>
      <c r="E21" s="758"/>
      <c r="F21" s="758"/>
      <c r="G21" s="758"/>
      <c r="H21" s="910"/>
      <c r="I21" s="913">
        <f t="shared" si="1"/>
        <v>0</v>
      </c>
      <c r="J21" s="913">
        <f t="shared" si="2"/>
        <v>0</v>
      </c>
      <c r="K21" s="913">
        <f t="shared" si="3"/>
        <v>0</v>
      </c>
      <c r="L21" s="759" t="str">
        <f t="shared" si="4"/>
        <v/>
      </c>
      <c r="M21" s="759" t="str">
        <f t="shared" si="5"/>
        <v/>
      </c>
      <c r="N21" s="759" t="str">
        <f t="shared" si="6"/>
        <v/>
      </c>
      <c r="O21" s="867" t="s">
        <v>446</v>
      </c>
      <c r="P21" s="867"/>
      <c r="Q21" s="867"/>
      <c r="R21" s="867"/>
      <c r="S21" s="867"/>
      <c r="T21" s="874" t="s">
        <v>2088</v>
      </c>
      <c r="U21" s="761"/>
      <c r="V21" s="761"/>
      <c r="W21" s="761"/>
      <c r="X21" s="758"/>
      <c r="Y21" s="909"/>
      <c r="Z21" s="761" t="s">
        <v>2089</v>
      </c>
      <c r="AA21" s="764"/>
      <c r="AB21" s="761"/>
      <c r="AC21" s="761"/>
      <c r="AD21" s="761"/>
    </row>
    <row r="22" spans="1:30" ht="36" customHeight="1">
      <c r="A22" s="760"/>
      <c r="B22" s="813">
        <v>5</v>
      </c>
      <c r="C22" s="758">
        <v>3</v>
      </c>
      <c r="D22" s="877"/>
      <c r="E22" s="758"/>
      <c r="F22" s="758"/>
      <c r="G22" s="805"/>
      <c r="H22" s="868"/>
      <c r="I22" s="913">
        <f t="shared" si="1"/>
        <v>0</v>
      </c>
      <c r="J22" s="913">
        <f t="shared" si="2"/>
        <v>0</v>
      </c>
      <c r="K22" s="913">
        <f t="shared" si="3"/>
        <v>0</v>
      </c>
      <c r="L22" s="759" t="str">
        <f t="shared" si="4"/>
        <v/>
      </c>
      <c r="M22" s="759" t="str">
        <f t="shared" si="5"/>
        <v/>
      </c>
      <c r="N22" s="759" t="str">
        <f t="shared" si="6"/>
        <v/>
      </c>
      <c r="O22" s="867"/>
      <c r="P22" s="867"/>
      <c r="Q22" s="867" t="s">
        <v>446</v>
      </c>
      <c r="R22" s="867"/>
      <c r="S22" s="867"/>
      <c r="T22" s="874"/>
      <c r="U22" s="761"/>
      <c r="V22" s="761" t="s">
        <v>2090</v>
      </c>
      <c r="W22" s="761"/>
      <c r="X22" s="758"/>
      <c r="Y22" s="909"/>
      <c r="Z22" s="761"/>
      <c r="AA22" s="764"/>
      <c r="AB22" s="761"/>
      <c r="AC22" s="761"/>
      <c r="AD22" s="761"/>
    </row>
    <row r="23" spans="1:30" ht="27" customHeight="1">
      <c r="A23" s="760"/>
      <c r="B23" s="813">
        <v>6</v>
      </c>
      <c r="C23" s="758">
        <v>4</v>
      </c>
      <c r="D23" s="877"/>
      <c r="E23" s="758"/>
      <c r="F23" s="758"/>
      <c r="G23" s="805"/>
      <c r="H23" s="868"/>
      <c r="I23" s="913">
        <f t="shared" si="1"/>
        <v>0</v>
      </c>
      <c r="J23" s="913">
        <f t="shared" si="2"/>
        <v>0</v>
      </c>
      <c r="K23" s="913">
        <f t="shared" si="3"/>
        <v>0</v>
      </c>
      <c r="L23" s="759" t="str">
        <f t="shared" si="4"/>
        <v/>
      </c>
      <c r="M23" s="759" t="str">
        <f t="shared" si="5"/>
        <v/>
      </c>
      <c r="N23" s="759" t="str">
        <f t="shared" si="6"/>
        <v/>
      </c>
      <c r="O23" s="867"/>
      <c r="P23" s="867"/>
      <c r="Q23" s="867" t="s">
        <v>449</v>
      </c>
      <c r="R23" s="867"/>
      <c r="S23" s="867"/>
      <c r="T23" s="874"/>
      <c r="U23" s="761"/>
      <c r="V23" s="761" t="s">
        <v>2091</v>
      </c>
      <c r="W23" s="761"/>
      <c r="X23" s="758"/>
      <c r="Y23" s="909"/>
      <c r="Z23" s="761"/>
      <c r="AA23" s="764"/>
      <c r="AB23" s="761"/>
      <c r="AC23" s="761"/>
      <c r="AD23" s="761"/>
    </row>
    <row r="24" spans="1:30" ht="36" customHeight="1">
      <c r="A24" s="760"/>
      <c r="B24" s="813">
        <v>7</v>
      </c>
      <c r="C24" s="758">
        <v>5</v>
      </c>
      <c r="D24" s="877"/>
      <c r="E24" s="758"/>
      <c r="F24" s="758"/>
      <c r="G24" s="805"/>
      <c r="H24" s="868"/>
      <c r="I24" s="913">
        <f t="shared" si="1"/>
        <v>0</v>
      </c>
      <c r="J24" s="913">
        <f t="shared" si="2"/>
        <v>0</v>
      </c>
      <c r="K24" s="913">
        <f t="shared" si="3"/>
        <v>0</v>
      </c>
      <c r="L24" s="759" t="str">
        <f t="shared" si="4"/>
        <v/>
      </c>
      <c r="M24" s="759" t="str">
        <f t="shared" si="5"/>
        <v/>
      </c>
      <c r="N24" s="759" t="str">
        <f t="shared" si="6"/>
        <v/>
      </c>
      <c r="O24" s="867"/>
      <c r="P24" s="867"/>
      <c r="Q24" s="867" t="s">
        <v>777</v>
      </c>
      <c r="R24" s="867"/>
      <c r="S24" s="867"/>
      <c r="T24" s="874"/>
      <c r="U24" s="761"/>
      <c r="V24" s="761" t="s">
        <v>2092</v>
      </c>
      <c r="W24" s="761"/>
      <c r="X24" s="758"/>
      <c r="Y24" s="909"/>
      <c r="Z24" s="761"/>
      <c r="AA24" s="764"/>
      <c r="AB24" s="761"/>
      <c r="AC24" s="761"/>
      <c r="AD24" s="761"/>
    </row>
    <row r="25" spans="1:30" ht="36" customHeight="1">
      <c r="A25" s="760"/>
      <c r="B25" s="813">
        <v>8</v>
      </c>
      <c r="C25" s="758">
        <v>6</v>
      </c>
      <c r="D25" s="877"/>
      <c r="E25" s="758"/>
      <c r="F25" s="758"/>
      <c r="G25" s="805"/>
      <c r="H25" s="868"/>
      <c r="I25" s="913" t="str">
        <f t="shared" si="1"/>
        <v>2.2</v>
      </c>
      <c r="J25" s="913" t="str">
        <f t="shared" si="2"/>
        <v>Расходы на приобретаемую электрическую энергию (мощность), используемую в технологическом процессе</v>
      </c>
      <c r="K25" s="913">
        <f t="shared" si="3"/>
        <v>0</v>
      </c>
      <c r="L25" s="759" t="str">
        <f t="shared" si="4"/>
        <v>2.2</v>
      </c>
      <c r="M25" s="759" t="str">
        <f t="shared" si="5"/>
        <v>Расходы на приобретаемую электрическую энергию (мощность), используемую в технологическом процессе</v>
      </c>
      <c r="N25" s="759" t="str">
        <f t="shared" si="6"/>
        <v/>
      </c>
      <c r="O25" s="867" t="s">
        <v>449</v>
      </c>
      <c r="P25" s="867" t="s">
        <v>446</v>
      </c>
      <c r="Q25" s="867" t="s">
        <v>784</v>
      </c>
      <c r="R25" s="867" t="s">
        <v>446</v>
      </c>
      <c r="S25" s="867"/>
      <c r="T25" s="874" t="s">
        <v>2093</v>
      </c>
      <c r="U25" s="761" t="s">
        <v>2093</v>
      </c>
      <c r="V25" s="761" t="s">
        <v>2093</v>
      </c>
      <c r="W25" s="761" t="s">
        <v>2093</v>
      </c>
      <c r="X25" s="758"/>
      <c r="Y25" s="909"/>
      <c r="Z25" s="761"/>
      <c r="AA25" s="764"/>
      <c r="AB25" s="761"/>
      <c r="AC25" s="761"/>
      <c r="AD25" s="761"/>
    </row>
    <row r="26" spans="1:30" ht="18" customHeight="1">
      <c r="A26" s="760"/>
      <c r="B26" s="813">
        <v>9</v>
      </c>
      <c r="C26" s="758" t="s">
        <v>953</v>
      </c>
      <c r="D26" s="877"/>
      <c r="E26" s="758"/>
      <c r="F26" s="758"/>
      <c r="G26" s="805"/>
      <c r="H26" s="868"/>
      <c r="I26" s="913" t="str">
        <f t="shared" si="1"/>
        <v>2.2.1</v>
      </c>
      <c r="J26" s="913" t="str">
        <f t="shared" si="2"/>
        <v>Средневзвешенная стоимость 1 кВт.ч (с учетом мощности)</v>
      </c>
      <c r="K26" s="913">
        <f t="shared" si="3"/>
        <v>0</v>
      </c>
      <c r="L26" s="759" t="str">
        <f t="shared" si="4"/>
        <v>2.2.1</v>
      </c>
      <c r="M26" s="759" t="str">
        <f t="shared" si="5"/>
        <v>Средневзвешенная стоимость 1 кВт.ч (с учетом мощности)</v>
      </c>
      <c r="N26" s="759" t="str">
        <f t="shared" si="6"/>
        <v/>
      </c>
      <c r="O26" s="867" t="s">
        <v>773</v>
      </c>
      <c r="P26" s="867" t="s">
        <v>767</v>
      </c>
      <c r="Q26" s="867" t="s">
        <v>2094</v>
      </c>
      <c r="R26" s="867" t="s">
        <v>767</v>
      </c>
      <c r="S26" s="867"/>
      <c r="T26" s="874" t="s">
        <v>2095</v>
      </c>
      <c r="U26" s="874" t="s">
        <v>2095</v>
      </c>
      <c r="V26" s="874" t="s">
        <v>2095</v>
      </c>
      <c r="W26" s="874" t="s">
        <v>2095</v>
      </c>
      <c r="X26" s="758"/>
      <c r="Y26" s="909"/>
      <c r="Z26" s="761"/>
      <c r="AA26" s="764"/>
      <c r="AB26" s="761"/>
      <c r="AC26" s="761"/>
      <c r="AD26" s="761"/>
    </row>
    <row r="27" spans="1:30" ht="18" customHeight="1">
      <c r="A27" s="760"/>
      <c r="B27" s="813">
        <v>10</v>
      </c>
      <c r="C27" s="758" t="s">
        <v>2096</v>
      </c>
      <c r="D27" s="877"/>
      <c r="E27" s="758"/>
      <c r="F27" s="758"/>
      <c r="G27" s="805"/>
      <c r="H27" s="868"/>
      <c r="I27" s="913" t="str">
        <f t="shared" si="1"/>
        <v>2.2.2</v>
      </c>
      <c r="J27" s="913" t="str">
        <f t="shared" si="2"/>
        <v>Объём приобретения электрической энергии</v>
      </c>
      <c r="K27" s="913">
        <f t="shared" si="3"/>
        <v>0</v>
      </c>
      <c r="L27" s="759" t="str">
        <f t="shared" si="4"/>
        <v>2.2.2</v>
      </c>
      <c r="M27" s="759" t="str">
        <f t="shared" si="5"/>
        <v>Объём приобретения электрической энергии</v>
      </c>
      <c r="N27" s="759" t="str">
        <f t="shared" si="6"/>
        <v/>
      </c>
      <c r="O27" s="867" t="s">
        <v>775</v>
      </c>
      <c r="P27" s="867" t="s">
        <v>769</v>
      </c>
      <c r="Q27" s="867" t="s">
        <v>2097</v>
      </c>
      <c r="R27" s="867" t="s">
        <v>769</v>
      </c>
      <c r="S27" s="867"/>
      <c r="T27" s="874" t="s">
        <v>2098</v>
      </c>
      <c r="U27" s="874" t="s">
        <v>2098</v>
      </c>
      <c r="V27" s="874" t="s">
        <v>2098</v>
      </c>
      <c r="W27" s="874" t="s">
        <v>2098</v>
      </c>
      <c r="X27" s="758"/>
      <c r="Y27" s="909"/>
      <c r="Z27" s="761"/>
      <c r="AA27" s="764"/>
      <c r="AB27" s="761"/>
      <c r="AC27" s="761"/>
      <c r="AD27" s="761"/>
    </row>
    <row r="28" spans="1:30" ht="27" customHeight="1">
      <c r="A28" s="760"/>
      <c r="B28" s="813">
        <v>11</v>
      </c>
      <c r="C28" s="758">
        <v>7</v>
      </c>
      <c r="D28" s="877"/>
      <c r="E28" s="758"/>
      <c r="F28" s="758"/>
      <c r="G28" s="805"/>
      <c r="H28" s="868"/>
      <c r="I28" s="913">
        <f t="shared" si="1"/>
        <v>0</v>
      </c>
      <c r="J28" s="913">
        <f t="shared" si="2"/>
        <v>0</v>
      </c>
      <c r="K28" s="913">
        <f t="shared" si="3"/>
        <v>0</v>
      </c>
      <c r="L28" s="759" t="str">
        <f t="shared" si="4"/>
        <v/>
      </c>
      <c r="M28" s="759" t="str">
        <f t="shared" si="5"/>
        <v/>
      </c>
      <c r="N28" s="759" t="str">
        <f t="shared" si="6"/>
        <v/>
      </c>
      <c r="O28" s="867" t="s">
        <v>777</v>
      </c>
      <c r="P28" s="867"/>
      <c r="Q28" s="867"/>
      <c r="R28" s="867"/>
      <c r="S28" s="867"/>
      <c r="T28" s="874" t="s">
        <v>2099</v>
      </c>
      <c r="U28" s="761"/>
      <c r="V28" s="761"/>
      <c r="W28" s="761"/>
      <c r="X28" s="758"/>
      <c r="Y28" s="909"/>
      <c r="Z28" s="761"/>
      <c r="AA28" s="764"/>
      <c r="AB28" s="761"/>
      <c r="AC28" s="761"/>
      <c r="AD28" s="761"/>
    </row>
    <row r="29" spans="1:30" ht="27" customHeight="1">
      <c r="A29" s="760"/>
      <c r="B29" s="813">
        <v>12</v>
      </c>
      <c r="C29" s="758">
        <v>8</v>
      </c>
      <c r="D29" s="877"/>
      <c r="E29" s="758"/>
      <c r="F29" s="758"/>
      <c r="G29" s="805"/>
      <c r="H29" s="868"/>
      <c r="I29" s="913" t="str">
        <f t="shared" si="1"/>
        <v>2.3</v>
      </c>
      <c r="J29" s="913" t="str">
        <f t="shared" si="2"/>
        <v>Расходы на химические реагенты, используемые в технологическом процессе</v>
      </c>
      <c r="K29" s="913">
        <f t="shared" si="3"/>
        <v>0</v>
      </c>
      <c r="L29" s="759" t="str">
        <f t="shared" si="4"/>
        <v>2.3</v>
      </c>
      <c r="M29" s="759" t="str">
        <f t="shared" si="5"/>
        <v>Расходы на химические реагенты, используемые в технологическом процессе</v>
      </c>
      <c r="N29" s="759" t="str">
        <f t="shared" si="6"/>
        <v/>
      </c>
      <c r="O29" s="867" t="s">
        <v>784</v>
      </c>
      <c r="P29" s="867" t="s">
        <v>449</v>
      </c>
      <c r="Q29" s="867"/>
      <c r="R29" s="867" t="s">
        <v>449</v>
      </c>
      <c r="S29" s="867"/>
      <c r="T29" s="874" t="s">
        <v>2100</v>
      </c>
      <c r="U29" s="761" t="s">
        <v>2100</v>
      </c>
      <c r="V29" s="761"/>
      <c r="W29" s="761" t="s">
        <v>2100</v>
      </c>
      <c r="X29" s="758"/>
      <c r="Y29" s="909"/>
      <c r="Z29" s="761"/>
      <c r="AA29" s="764"/>
      <c r="AB29" s="761"/>
      <c r="AC29" s="761"/>
      <c r="AD29" s="761"/>
    </row>
    <row r="30" spans="1:30" ht="54" customHeight="1">
      <c r="A30" s="760"/>
      <c r="B30" s="813">
        <v>13</v>
      </c>
      <c r="C30" s="758">
        <v>9</v>
      </c>
      <c r="D30" s="877"/>
      <c r="E30" s="758"/>
      <c r="F30" s="758"/>
      <c r="G30" s="805"/>
      <c r="H30" s="868"/>
      <c r="I30" s="913" t="str">
        <f t="shared" si="1"/>
        <v>2.4</v>
      </c>
      <c r="J30" s="91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3" t="str">
        <f t="shared" si="3"/>
        <v>Указывается общая сумма расходов на оплату труда и отчислений на социальные нужды основного производственного персонала.</v>
      </c>
      <c r="L30" s="759" t="str">
        <f t="shared" si="4"/>
        <v>2.4</v>
      </c>
      <c r="M30" s="75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9" t="str">
        <f t="shared" si="6"/>
        <v>Указывается общая сумма расходов на оплату труда и отчислений на социальные нужды основного производственного персонала.</v>
      </c>
      <c r="O30" s="867" t="s">
        <v>786</v>
      </c>
      <c r="P30" s="867" t="s">
        <v>777</v>
      </c>
      <c r="Q30" s="867" t="s">
        <v>786</v>
      </c>
      <c r="R30" s="867" t="s">
        <v>777</v>
      </c>
      <c r="S30" s="867"/>
      <c r="T30" s="874" t="s">
        <v>2101</v>
      </c>
      <c r="U30" s="761" t="s">
        <v>2101</v>
      </c>
      <c r="V30" s="761" t="s">
        <v>2101</v>
      </c>
      <c r="W30" s="761" t="s">
        <v>2101</v>
      </c>
      <c r="X30" s="758"/>
      <c r="Y30" s="909"/>
      <c r="Z30" s="761"/>
      <c r="AA30" s="764" t="s">
        <v>2102</v>
      </c>
      <c r="AB30" s="764" t="s">
        <v>2102</v>
      </c>
      <c r="AC30" s="764" t="s">
        <v>2102</v>
      </c>
      <c r="AD30" s="761"/>
    </row>
    <row r="31" spans="1:30" ht="18" customHeight="1">
      <c r="A31" s="760"/>
      <c r="B31" s="813">
        <v>14</v>
      </c>
      <c r="C31" s="758" t="s">
        <v>2103</v>
      </c>
      <c r="D31" s="877"/>
      <c r="E31" s="758"/>
      <c r="F31" s="758"/>
      <c r="G31" s="805"/>
      <c r="H31" s="868"/>
      <c r="I31" s="913" t="str">
        <f t="shared" si="1"/>
        <v>2.4.1</v>
      </c>
      <c r="J31" s="913" t="str">
        <f t="shared" si="2"/>
        <v>Расходы на оплату труда основного производственного персонала</v>
      </c>
      <c r="K31" s="913">
        <f t="shared" si="3"/>
        <v>0</v>
      </c>
      <c r="L31" s="759" t="str">
        <f t="shared" si="4"/>
        <v>2.4.1</v>
      </c>
      <c r="M31" s="759" t="str">
        <f t="shared" si="5"/>
        <v>Расходы на оплату труда основного производственного персонала</v>
      </c>
      <c r="N31" s="759" t="str">
        <f t="shared" si="6"/>
        <v/>
      </c>
      <c r="O31" s="867" t="s">
        <v>2104</v>
      </c>
      <c r="P31" s="867" t="s">
        <v>780</v>
      </c>
      <c r="Q31" s="867" t="s">
        <v>2104</v>
      </c>
      <c r="R31" s="867" t="s">
        <v>780</v>
      </c>
      <c r="S31" s="867"/>
      <c r="T31" s="875" t="s">
        <v>2105</v>
      </c>
      <c r="U31" s="761" t="s">
        <v>2105</v>
      </c>
      <c r="V31" s="761" t="s">
        <v>2105</v>
      </c>
      <c r="W31" s="761" t="s">
        <v>2105</v>
      </c>
      <c r="X31" s="758"/>
      <c r="Y31" s="909"/>
      <c r="Z31" s="761"/>
      <c r="AA31" s="764"/>
      <c r="AB31" s="764"/>
      <c r="AC31" s="764"/>
      <c r="AD31" s="761"/>
    </row>
    <row r="32" spans="1:30" ht="36" customHeight="1">
      <c r="A32" s="760"/>
      <c r="B32" s="813">
        <v>15</v>
      </c>
      <c r="C32" s="758" t="s">
        <v>2106</v>
      </c>
      <c r="D32" s="877"/>
      <c r="E32" s="758"/>
      <c r="F32" s="758"/>
      <c r="G32" s="805"/>
      <c r="H32" s="868"/>
      <c r="I32" s="913" t="str">
        <f t="shared" si="1"/>
        <v>2.4.2</v>
      </c>
      <c r="J32" s="91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3">
        <f t="shared" si="3"/>
        <v>0</v>
      </c>
      <c r="L32" s="759" t="str">
        <f t="shared" si="4"/>
        <v>2.4.2</v>
      </c>
      <c r="M32" s="75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9" t="str">
        <f t="shared" si="6"/>
        <v/>
      </c>
      <c r="O32" s="867" t="s">
        <v>2107</v>
      </c>
      <c r="P32" s="867" t="s">
        <v>782</v>
      </c>
      <c r="Q32" s="867" t="s">
        <v>2107</v>
      </c>
      <c r="R32" s="867" t="s">
        <v>782</v>
      </c>
      <c r="S32" s="867"/>
      <c r="T32" s="876" t="s">
        <v>2108</v>
      </c>
      <c r="U32" s="761" t="s">
        <v>2108</v>
      </c>
      <c r="V32" s="761" t="s">
        <v>2108</v>
      </c>
      <c r="W32" s="761" t="s">
        <v>2108</v>
      </c>
      <c r="X32" s="758"/>
      <c r="Y32" s="909"/>
      <c r="Z32" s="761"/>
      <c r="AA32" s="764"/>
      <c r="AB32" s="764"/>
      <c r="AC32" s="764"/>
      <c r="AD32" s="761"/>
    </row>
    <row r="33" spans="1:30" ht="45" customHeight="1">
      <c r="A33" s="760"/>
      <c r="B33" s="813">
        <v>16</v>
      </c>
      <c r="C33" s="758">
        <v>10</v>
      </c>
      <c r="D33" s="877"/>
      <c r="E33" s="758"/>
      <c r="F33" s="758"/>
      <c r="G33" s="805"/>
      <c r="H33" s="868"/>
      <c r="I33" s="913" t="str">
        <f t="shared" si="1"/>
        <v>2.5</v>
      </c>
      <c r="J33" s="91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3" t="str">
        <f t="shared" si="3"/>
        <v>Указывается общая сумма расходов на оплату труда и отчислений на социальные нужды административно-управленческого персонала.</v>
      </c>
      <c r="L33" s="759" t="str">
        <f t="shared" si="4"/>
        <v>2.5</v>
      </c>
      <c r="M33" s="75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59" t="str">
        <f t="shared" si="6"/>
        <v>Указывается общая сумма расходов на оплату труда и отчислений на социальные нужды административно-управленческого персонала.</v>
      </c>
      <c r="O33" s="867" t="s">
        <v>788</v>
      </c>
      <c r="P33" s="867" t="s">
        <v>784</v>
      </c>
      <c r="Q33" s="867" t="s">
        <v>788</v>
      </c>
      <c r="R33" s="867" t="s">
        <v>784</v>
      </c>
      <c r="S33" s="867"/>
      <c r="T33" s="875" t="s">
        <v>2109</v>
      </c>
      <c r="U33" s="761" t="s">
        <v>2109</v>
      </c>
      <c r="V33" s="761" t="s">
        <v>2109</v>
      </c>
      <c r="W33" s="761" t="s">
        <v>2110</v>
      </c>
      <c r="X33" s="758"/>
      <c r="Y33" s="909"/>
      <c r="Z33" s="761"/>
      <c r="AA33" s="764" t="s">
        <v>2111</v>
      </c>
      <c r="AB33" s="764" t="s">
        <v>2111</v>
      </c>
      <c r="AC33" s="764" t="s">
        <v>2111</v>
      </c>
      <c r="AD33" s="761"/>
    </row>
    <row r="34" spans="1:30" ht="27" customHeight="1">
      <c r="A34" s="760"/>
      <c r="B34" s="813">
        <v>17</v>
      </c>
      <c r="C34" s="758" t="s">
        <v>2112</v>
      </c>
      <c r="D34" s="877"/>
      <c r="E34" s="758"/>
      <c r="F34" s="758"/>
      <c r="G34" s="805"/>
      <c r="H34" s="868"/>
      <c r="I34" s="913" t="str">
        <f t="shared" si="1"/>
        <v>2.5.1</v>
      </c>
      <c r="J34" s="913" t="str">
        <f t="shared" si="2"/>
        <v>Расходы на оплату труда административно-управленческого персонала, в том числе:</v>
      </c>
      <c r="K34" s="913">
        <f t="shared" si="3"/>
        <v>0</v>
      </c>
      <c r="L34" s="759" t="str">
        <f t="shared" si="4"/>
        <v>2.5.1</v>
      </c>
      <c r="M34" s="759" t="str">
        <f t="shared" si="5"/>
        <v>Расходы на оплату труда административно-управленческого персонала, в том числе:</v>
      </c>
      <c r="N34" s="759" t="str">
        <f t="shared" si="6"/>
        <v/>
      </c>
      <c r="O34" s="867" t="s">
        <v>2113</v>
      </c>
      <c r="P34" s="867" t="s">
        <v>2094</v>
      </c>
      <c r="Q34" s="867" t="s">
        <v>2113</v>
      </c>
      <c r="R34" s="867" t="s">
        <v>2094</v>
      </c>
      <c r="S34" s="867"/>
      <c r="T34" s="876" t="s">
        <v>2114</v>
      </c>
      <c r="U34" s="761" t="s">
        <v>2114</v>
      </c>
      <c r="V34" s="761" t="s">
        <v>2114</v>
      </c>
      <c r="W34" s="761" t="s">
        <v>2115</v>
      </c>
      <c r="X34" s="758"/>
      <c r="Y34" s="909"/>
      <c r="Z34" s="761"/>
      <c r="AA34" s="764"/>
      <c r="AB34" s="761"/>
      <c r="AC34" s="761"/>
      <c r="AD34" s="761"/>
    </row>
    <row r="35" spans="1:30" ht="45" customHeight="1">
      <c r="A35" s="760"/>
      <c r="B35" s="813">
        <v>18</v>
      </c>
      <c r="C35" s="758" t="s">
        <v>2116</v>
      </c>
      <c r="D35" s="877"/>
      <c r="E35" s="758"/>
      <c r="F35" s="758"/>
      <c r="G35" s="805"/>
      <c r="H35" s="868"/>
      <c r="I35" s="913" t="str">
        <f t="shared" si="1"/>
        <v>2.5.2</v>
      </c>
      <c r="J35" s="91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3">
        <f t="shared" si="3"/>
        <v>0</v>
      </c>
      <c r="L35" s="759" t="str">
        <f t="shared" si="4"/>
        <v>2.5.2</v>
      </c>
      <c r="M35" s="75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9" t="str">
        <f t="shared" si="6"/>
        <v/>
      </c>
      <c r="O35" s="867" t="s">
        <v>2117</v>
      </c>
      <c r="P35" s="867" t="s">
        <v>2097</v>
      </c>
      <c r="Q35" s="867" t="s">
        <v>2117</v>
      </c>
      <c r="R35" s="867" t="s">
        <v>2097</v>
      </c>
      <c r="S35" s="867"/>
      <c r="T35" s="874" t="s">
        <v>2118</v>
      </c>
      <c r="U35" s="761" t="s">
        <v>2118</v>
      </c>
      <c r="V35" s="761" t="s">
        <v>2118</v>
      </c>
      <c r="W35" s="761" t="s">
        <v>2118</v>
      </c>
      <c r="X35" s="758"/>
      <c r="Y35" s="909"/>
      <c r="Z35" s="761"/>
      <c r="AA35" s="764"/>
      <c r="AB35" s="761"/>
      <c r="AC35" s="761"/>
      <c r="AD35" s="761"/>
    </row>
    <row r="36" spans="1:30" ht="18" customHeight="1">
      <c r="A36" s="760"/>
      <c r="B36" s="813">
        <v>19</v>
      </c>
      <c r="C36" s="758">
        <v>11</v>
      </c>
      <c r="D36" s="877"/>
      <c r="E36" s="758"/>
      <c r="F36" s="758"/>
      <c r="G36" s="805"/>
      <c r="H36" s="868"/>
      <c r="I36" s="913" t="str">
        <f t="shared" si="1"/>
        <v>2.6</v>
      </c>
      <c r="J36" s="913" t="str">
        <f t="shared" si="2"/>
        <v>Расходы на амортизацию основных средств и нематериальных активов</v>
      </c>
      <c r="K36" s="913">
        <f t="shared" si="3"/>
        <v>0</v>
      </c>
      <c r="L36" s="759" t="str">
        <f t="shared" si="4"/>
        <v>2.6</v>
      </c>
      <c r="M36" s="759" t="str">
        <f t="shared" si="5"/>
        <v>Расходы на амортизацию основных средств и нематериальных активов</v>
      </c>
      <c r="N36" s="759" t="str">
        <f t="shared" si="6"/>
        <v/>
      </c>
      <c r="O36" s="867" t="s">
        <v>790</v>
      </c>
      <c r="P36" s="867" t="s">
        <v>786</v>
      </c>
      <c r="Q36" s="867" t="s">
        <v>790</v>
      </c>
      <c r="R36" s="867" t="s">
        <v>786</v>
      </c>
      <c r="S36" s="867"/>
      <c r="T36" s="874" t="s">
        <v>2119</v>
      </c>
      <c r="U36" s="761" t="s">
        <v>2119</v>
      </c>
      <c r="V36" s="761" t="s">
        <v>2119</v>
      </c>
      <c r="W36" s="761" t="s">
        <v>2119</v>
      </c>
      <c r="X36" s="758"/>
      <c r="Y36" s="909"/>
      <c r="Z36" s="761"/>
      <c r="AA36" s="764"/>
      <c r="AB36" s="761"/>
      <c r="AC36" s="761"/>
      <c r="AD36" s="761"/>
    </row>
    <row r="37" spans="1:30" ht="18" customHeight="1">
      <c r="A37" s="760"/>
      <c r="B37" s="813">
        <v>20</v>
      </c>
      <c r="C37" s="758" t="s">
        <v>2120</v>
      </c>
      <c r="D37" s="877"/>
      <c r="E37" s="758"/>
      <c r="F37" s="758"/>
      <c r="G37" s="805"/>
      <c r="H37" s="868"/>
      <c r="I37" s="913" t="str">
        <f t="shared" si="1"/>
        <v>2.6.1</v>
      </c>
      <c r="J37" s="913" t="str">
        <f t="shared" si="2"/>
        <v>Расходы на амортизацию основных средств</v>
      </c>
      <c r="K37" s="913">
        <f t="shared" si="3"/>
        <v>0</v>
      </c>
      <c r="L37" s="759" t="str">
        <f t="shared" si="4"/>
        <v>2.6.1</v>
      </c>
      <c r="M37" s="759" t="str">
        <f t="shared" si="5"/>
        <v>Расходы на амортизацию основных средств</v>
      </c>
      <c r="N37" s="759" t="str">
        <f t="shared" si="6"/>
        <v/>
      </c>
      <c r="O37" s="867" t="s">
        <v>2121</v>
      </c>
      <c r="P37" s="867" t="s">
        <v>2104</v>
      </c>
      <c r="Q37" s="867" t="s">
        <v>2121</v>
      </c>
      <c r="R37" s="867" t="s">
        <v>2104</v>
      </c>
      <c r="S37" s="867"/>
      <c r="T37" s="874" t="s">
        <v>2122</v>
      </c>
      <c r="U37" s="761" t="s">
        <v>2122</v>
      </c>
      <c r="V37" s="761" t="s">
        <v>2122</v>
      </c>
      <c r="W37" s="761" t="s">
        <v>2122</v>
      </c>
      <c r="X37" s="758"/>
      <c r="Y37" s="909"/>
      <c r="Z37" s="761"/>
      <c r="AA37" s="764"/>
      <c r="AB37" s="761"/>
      <c r="AC37" s="761"/>
      <c r="AD37" s="761"/>
    </row>
    <row r="38" spans="1:30" ht="18" customHeight="1">
      <c r="A38" s="760"/>
      <c r="B38" s="813">
        <v>21</v>
      </c>
      <c r="C38" s="758" t="s">
        <v>2123</v>
      </c>
      <c r="D38" s="877"/>
      <c r="E38" s="758"/>
      <c r="F38" s="758"/>
      <c r="G38" s="805"/>
      <c r="H38" s="868"/>
      <c r="I38" s="913" t="str">
        <f t="shared" si="1"/>
        <v>2.6.2</v>
      </c>
      <c r="J38" s="913" t="str">
        <f t="shared" si="2"/>
        <v>Расходы на амортизацию нематериальных активов</v>
      </c>
      <c r="K38" s="913">
        <f t="shared" si="3"/>
        <v>0</v>
      </c>
      <c r="L38" s="759" t="str">
        <f t="shared" si="4"/>
        <v>2.6.2</v>
      </c>
      <c r="M38" s="759" t="str">
        <f t="shared" si="5"/>
        <v>Расходы на амортизацию нематериальных активов</v>
      </c>
      <c r="N38" s="759" t="str">
        <f t="shared" si="6"/>
        <v/>
      </c>
      <c r="O38" s="867" t="s">
        <v>2124</v>
      </c>
      <c r="P38" s="867" t="s">
        <v>2107</v>
      </c>
      <c r="Q38" s="867" t="s">
        <v>2124</v>
      </c>
      <c r="R38" s="867" t="s">
        <v>2107</v>
      </c>
      <c r="S38" s="867"/>
      <c r="T38" s="874" t="s">
        <v>2125</v>
      </c>
      <c r="U38" s="761" t="s">
        <v>2125</v>
      </c>
      <c r="V38" s="761" t="s">
        <v>2125</v>
      </c>
      <c r="W38" s="761" t="s">
        <v>2125</v>
      </c>
      <c r="X38" s="758"/>
      <c r="Y38" s="909"/>
      <c r="Z38" s="761"/>
      <c r="AA38" s="764"/>
      <c r="AB38" s="761"/>
      <c r="AC38" s="761"/>
      <c r="AD38" s="761"/>
    </row>
    <row r="39" spans="1:30" ht="36" customHeight="1">
      <c r="A39" s="760"/>
      <c r="B39" s="813">
        <v>22</v>
      </c>
      <c r="C39" s="758">
        <v>12</v>
      </c>
      <c r="D39" s="877"/>
      <c r="E39" s="758"/>
      <c r="F39" s="758"/>
      <c r="G39" s="805"/>
      <c r="H39" s="868"/>
      <c r="I39" s="913" t="str">
        <f t="shared" si="1"/>
        <v>2.7</v>
      </c>
      <c r="J39" s="913" t="str">
        <f t="shared" si="2"/>
        <v>Расходы на аренду имущества, используемого для осуществления регулируемых видов деятельности в сфере водоотведения</v>
      </c>
      <c r="K39" s="913">
        <f t="shared" si="3"/>
        <v>0</v>
      </c>
      <c r="L39" s="759" t="str">
        <f t="shared" si="4"/>
        <v>2.7</v>
      </c>
      <c r="M39" s="759" t="str">
        <f t="shared" si="5"/>
        <v>Расходы на аренду имущества, используемого для осуществления регулируемых видов деятельности в сфере водоотведения</v>
      </c>
      <c r="N39" s="759" t="str">
        <f t="shared" si="6"/>
        <v/>
      </c>
      <c r="O39" s="867" t="s">
        <v>794</v>
      </c>
      <c r="P39" s="867" t="s">
        <v>788</v>
      </c>
      <c r="Q39" s="867" t="s">
        <v>794</v>
      </c>
      <c r="R39" s="867" t="s">
        <v>788</v>
      </c>
      <c r="S39" s="867"/>
      <c r="T39" s="874" t="s">
        <v>2126</v>
      </c>
      <c r="U39" s="761" t="s">
        <v>2127</v>
      </c>
      <c r="V39" s="761" t="s">
        <v>2128</v>
      </c>
      <c r="W39" s="761" t="s">
        <v>2129</v>
      </c>
      <c r="X39" s="758"/>
      <c r="Y39" s="909"/>
      <c r="Z39" s="761"/>
      <c r="AA39" s="764"/>
      <c r="AB39" s="761"/>
      <c r="AC39" s="761"/>
      <c r="AD39" s="761"/>
    </row>
    <row r="40" spans="1:30" ht="18" customHeight="1">
      <c r="A40" s="760"/>
      <c r="B40" s="813">
        <v>23</v>
      </c>
      <c r="C40" s="758">
        <v>13</v>
      </c>
      <c r="D40" s="877"/>
      <c r="E40" s="758"/>
      <c r="F40" s="758"/>
      <c r="G40" s="758"/>
      <c r="H40" s="808"/>
      <c r="I40" s="913" t="str">
        <f t="shared" si="1"/>
        <v>2.8</v>
      </c>
      <c r="J40" s="913" t="str">
        <f t="shared" si="2"/>
        <v>Общепроизводственные расходы, в том числе:</v>
      </c>
      <c r="K40" s="913" t="str">
        <f t="shared" si="3"/>
        <v>Указывается общая сумма общепроизводственных расходов.</v>
      </c>
      <c r="L40" s="759" t="str">
        <f t="shared" si="4"/>
        <v>2.8</v>
      </c>
      <c r="M40" s="759" t="str">
        <f t="shared" si="5"/>
        <v>Общепроизводственные расходы, в том числе:</v>
      </c>
      <c r="N40" s="759" t="str">
        <f t="shared" si="6"/>
        <v>Указывается общая сумма общепроизводственных расходов.</v>
      </c>
      <c r="O40" s="867" t="s">
        <v>2130</v>
      </c>
      <c r="P40" s="867" t="s">
        <v>790</v>
      </c>
      <c r="Q40" s="867" t="s">
        <v>2130</v>
      </c>
      <c r="R40" s="867" t="s">
        <v>790</v>
      </c>
      <c r="S40" s="867"/>
      <c r="T40" s="758" t="s">
        <v>2131</v>
      </c>
      <c r="U40" s="758" t="s">
        <v>2131</v>
      </c>
      <c r="V40" s="758" t="s">
        <v>2131</v>
      </c>
      <c r="W40" s="758" t="s">
        <v>2131</v>
      </c>
      <c r="X40" s="758"/>
      <c r="Y40" s="909"/>
      <c r="Z40" s="761" t="s">
        <v>2132</v>
      </c>
      <c r="AA40" s="764" t="s">
        <v>2132</v>
      </c>
      <c r="AB40" s="764" t="s">
        <v>2132</v>
      </c>
      <c r="AC40" s="764" t="s">
        <v>2132</v>
      </c>
      <c r="AD40" s="761"/>
    </row>
    <row r="41" spans="1:30" ht="27" customHeight="1">
      <c r="A41" s="760"/>
      <c r="B41" s="813">
        <v>24</v>
      </c>
      <c r="C41" s="758" t="s">
        <v>2133</v>
      </c>
      <c r="D41" s="877"/>
      <c r="E41" s="758"/>
      <c r="F41" s="758"/>
      <c r="G41" s="758"/>
      <c r="H41" s="805"/>
      <c r="I41" s="913" t="str">
        <f t="shared" si="1"/>
        <v>2.8.1</v>
      </c>
      <c r="J41" s="913" t="str">
        <f t="shared" si="2"/>
        <v>Расходы на текущий ремонт</v>
      </c>
      <c r="K41" s="913" t="str">
        <f t="shared" si="3"/>
        <v>Указываются расходы на текущий ремонт, отнесенные к общепроизводственным расходам.</v>
      </c>
      <c r="L41" s="759" t="str">
        <f t="shared" si="4"/>
        <v>2.8.1</v>
      </c>
      <c r="M41" s="759" t="str">
        <f t="shared" si="5"/>
        <v>Расходы на текущий ремонт</v>
      </c>
      <c r="N41" s="759" t="str">
        <f t="shared" si="6"/>
        <v>Указываются расходы на текущий ремонт, отнесенные к общепроизводственным расходам.</v>
      </c>
      <c r="O41" s="867" t="s">
        <v>2134</v>
      </c>
      <c r="P41" s="867" t="s">
        <v>2121</v>
      </c>
      <c r="Q41" s="867" t="s">
        <v>2134</v>
      </c>
      <c r="R41" s="867" t="s">
        <v>2121</v>
      </c>
      <c r="S41" s="867"/>
      <c r="T41" s="758" t="s">
        <v>2135</v>
      </c>
      <c r="U41" s="758" t="s">
        <v>2135</v>
      </c>
      <c r="V41" s="758" t="s">
        <v>2135</v>
      </c>
      <c r="W41" s="758" t="s">
        <v>2135</v>
      </c>
      <c r="X41" s="758"/>
      <c r="Y41" s="909"/>
      <c r="Z41" s="761" t="s">
        <v>2136</v>
      </c>
      <c r="AA41" s="761" t="s">
        <v>2136</v>
      </c>
      <c r="AB41" s="761" t="s">
        <v>2136</v>
      </c>
      <c r="AC41" s="761" t="s">
        <v>2136</v>
      </c>
      <c r="AD41" s="761"/>
    </row>
    <row r="42" spans="1:30" ht="27" customHeight="1">
      <c r="A42" s="760"/>
      <c r="B42" s="813">
        <v>25</v>
      </c>
      <c r="C42" s="758" t="s">
        <v>2137</v>
      </c>
      <c r="D42" s="877"/>
      <c r="E42" s="758"/>
      <c r="F42" s="758"/>
      <c r="G42" s="758"/>
      <c r="H42" s="805"/>
      <c r="I42" s="913" t="str">
        <f t="shared" si="1"/>
        <v>2.8.2</v>
      </c>
      <c r="J42" s="913" t="str">
        <f t="shared" si="2"/>
        <v>Расходы на капитальный ремонт</v>
      </c>
      <c r="K42" s="913" t="str">
        <f t="shared" si="3"/>
        <v>Указываются расходы на капитальный ремонт, отнесенные к общепроизводственным расходам.</v>
      </c>
      <c r="L42" s="759" t="str">
        <f t="shared" si="4"/>
        <v>2.8.2</v>
      </c>
      <c r="M42" s="759" t="str">
        <f t="shared" si="5"/>
        <v>Расходы на капитальный ремонт</v>
      </c>
      <c r="N42" s="759" t="str">
        <f t="shared" si="6"/>
        <v>Указываются расходы на капитальный ремонт, отнесенные к общепроизводственным расходам.</v>
      </c>
      <c r="O42" s="867" t="s">
        <v>2138</v>
      </c>
      <c r="P42" s="867" t="s">
        <v>2124</v>
      </c>
      <c r="Q42" s="867" t="s">
        <v>2138</v>
      </c>
      <c r="R42" s="867" t="s">
        <v>2124</v>
      </c>
      <c r="S42" s="867"/>
      <c r="T42" s="758" t="s">
        <v>2139</v>
      </c>
      <c r="U42" s="758" t="s">
        <v>2139</v>
      </c>
      <c r="V42" s="758" t="s">
        <v>2139</v>
      </c>
      <c r="W42" s="758" t="s">
        <v>2139</v>
      </c>
      <c r="X42" s="758"/>
      <c r="Y42" s="909"/>
      <c r="Z42" s="761" t="s">
        <v>2140</v>
      </c>
      <c r="AA42" s="761" t="s">
        <v>2140</v>
      </c>
      <c r="AB42" s="761" t="s">
        <v>2140</v>
      </c>
      <c r="AC42" s="761" t="s">
        <v>2140</v>
      </c>
      <c r="AD42" s="761"/>
    </row>
    <row r="43" spans="1:30" ht="18" customHeight="1">
      <c r="A43" s="760"/>
      <c r="B43" s="813">
        <v>26</v>
      </c>
      <c r="C43" s="758">
        <v>14</v>
      </c>
      <c r="D43" s="877"/>
      <c r="E43" s="758"/>
      <c r="F43" s="758"/>
      <c r="G43" s="758"/>
      <c r="H43" s="805"/>
      <c r="I43" s="913" t="str">
        <f t="shared" si="1"/>
        <v>2.9</v>
      </c>
      <c r="J43" s="913" t="str">
        <f t="shared" si="2"/>
        <v>Общехозяйственные расходы, в том числе:</v>
      </c>
      <c r="K43" s="913" t="str">
        <f t="shared" si="3"/>
        <v>Указывается общая сумма общехозяйственных расходов.</v>
      </c>
      <c r="L43" s="759" t="str">
        <f t="shared" si="4"/>
        <v>2.9</v>
      </c>
      <c r="M43" s="759" t="str">
        <f t="shared" si="5"/>
        <v>Общехозяйственные расходы, в том числе:</v>
      </c>
      <c r="N43" s="759" t="str">
        <f t="shared" si="6"/>
        <v>Указывается общая сумма общехозяйственных расходов.</v>
      </c>
      <c r="O43" s="867" t="s">
        <v>2141</v>
      </c>
      <c r="P43" s="867" t="s">
        <v>794</v>
      </c>
      <c r="Q43" s="867" t="s">
        <v>2141</v>
      </c>
      <c r="R43" s="867" t="s">
        <v>794</v>
      </c>
      <c r="S43" s="867"/>
      <c r="T43" s="758" t="s">
        <v>2142</v>
      </c>
      <c r="U43" s="758" t="s">
        <v>2142</v>
      </c>
      <c r="V43" s="758" t="s">
        <v>2142</v>
      </c>
      <c r="W43" s="758" t="s">
        <v>2142</v>
      </c>
      <c r="X43" s="758"/>
      <c r="Y43" s="909"/>
      <c r="Z43" s="761" t="s">
        <v>2143</v>
      </c>
      <c r="AA43" s="761" t="s">
        <v>2143</v>
      </c>
      <c r="AB43" s="761" t="s">
        <v>2143</v>
      </c>
      <c r="AC43" s="761" t="s">
        <v>2143</v>
      </c>
      <c r="AD43" s="761"/>
    </row>
    <row r="44" spans="1:30" ht="27" customHeight="1">
      <c r="A44" s="760"/>
      <c r="B44" s="813">
        <v>27</v>
      </c>
      <c r="C44" s="758" t="s">
        <v>2144</v>
      </c>
      <c r="D44" s="877"/>
      <c r="E44" s="758"/>
      <c r="F44" s="758"/>
      <c r="G44" s="758"/>
      <c r="H44" s="805"/>
      <c r="I44" s="913" t="str">
        <f t="shared" si="1"/>
        <v>2.9.1</v>
      </c>
      <c r="J44" s="913" t="str">
        <f t="shared" si="2"/>
        <v>Расходы на текущий ремонт</v>
      </c>
      <c r="K44" s="913" t="str">
        <f t="shared" si="3"/>
        <v>Указываются расходы на текущий ремонт, отнесенные к общехозяйственным расходам.</v>
      </c>
      <c r="L44" s="759" t="str">
        <f t="shared" si="4"/>
        <v>2.9.1</v>
      </c>
      <c r="M44" s="759" t="str">
        <f t="shared" si="5"/>
        <v>Расходы на текущий ремонт</v>
      </c>
      <c r="N44" s="759" t="str">
        <f t="shared" si="6"/>
        <v>Указываются расходы на текущий ремонт, отнесенные к общехозяйственным расходам.</v>
      </c>
      <c r="O44" s="867" t="s">
        <v>2145</v>
      </c>
      <c r="P44" s="867" t="s">
        <v>2146</v>
      </c>
      <c r="Q44" s="867" t="s">
        <v>2145</v>
      </c>
      <c r="R44" s="867" t="s">
        <v>2146</v>
      </c>
      <c r="S44" s="867"/>
      <c r="T44" s="758" t="s">
        <v>2135</v>
      </c>
      <c r="U44" s="758" t="s">
        <v>2135</v>
      </c>
      <c r="V44" s="758" t="s">
        <v>2135</v>
      </c>
      <c r="W44" s="758" t="s">
        <v>2135</v>
      </c>
      <c r="X44" s="758"/>
      <c r="Y44" s="909"/>
      <c r="Z44" s="761" t="s">
        <v>2147</v>
      </c>
      <c r="AA44" s="761" t="s">
        <v>2147</v>
      </c>
      <c r="AB44" s="761" t="s">
        <v>2147</v>
      </c>
      <c r="AC44" s="761" t="s">
        <v>2147</v>
      </c>
      <c r="AD44" s="761"/>
    </row>
    <row r="45" spans="1:30" ht="27" customHeight="1">
      <c r="A45" s="760"/>
      <c r="B45" s="813">
        <v>28</v>
      </c>
      <c r="C45" s="758" t="s">
        <v>2148</v>
      </c>
      <c r="D45" s="877"/>
      <c r="E45" s="758"/>
      <c r="F45" s="758"/>
      <c r="G45" s="758"/>
      <c r="H45" s="805"/>
      <c r="I45" s="913" t="str">
        <f t="shared" si="1"/>
        <v>2.9.2</v>
      </c>
      <c r="J45" s="913" t="str">
        <f t="shared" si="2"/>
        <v>Расходы на капитальный ремонт</v>
      </c>
      <c r="K45" s="913" t="str">
        <f t="shared" si="3"/>
        <v>Указываются расходы на капитальный ремонт, отнесенные к общехозяйственным расходам.</v>
      </c>
      <c r="L45" s="759" t="str">
        <f t="shared" si="4"/>
        <v>2.9.2</v>
      </c>
      <c r="M45" s="759" t="str">
        <f t="shared" si="5"/>
        <v>Расходы на капитальный ремонт</v>
      </c>
      <c r="N45" s="759" t="str">
        <f t="shared" si="6"/>
        <v>Указываются расходы на капитальный ремонт, отнесенные к общехозяйственным расходам.</v>
      </c>
      <c r="O45" s="867" t="s">
        <v>2149</v>
      </c>
      <c r="P45" s="867" t="s">
        <v>2150</v>
      </c>
      <c r="Q45" s="867" t="s">
        <v>2149</v>
      </c>
      <c r="R45" s="867" t="s">
        <v>2150</v>
      </c>
      <c r="S45" s="867"/>
      <c r="T45" s="758" t="s">
        <v>2139</v>
      </c>
      <c r="U45" s="758" t="s">
        <v>2139</v>
      </c>
      <c r="V45" s="758" t="s">
        <v>2139</v>
      </c>
      <c r="W45" s="758" t="s">
        <v>2139</v>
      </c>
      <c r="X45" s="758"/>
      <c r="Y45" s="909"/>
      <c r="Z45" s="761" t="s">
        <v>2151</v>
      </c>
      <c r="AA45" s="761" t="s">
        <v>2151</v>
      </c>
      <c r="AB45" s="761" t="s">
        <v>2151</v>
      </c>
      <c r="AC45" s="761" t="s">
        <v>2151</v>
      </c>
      <c r="AD45" s="761"/>
    </row>
    <row r="46" spans="1:30" ht="54" customHeight="1">
      <c r="A46" s="760"/>
      <c r="B46" s="813">
        <v>29</v>
      </c>
      <c r="C46" s="758">
        <v>15</v>
      </c>
      <c r="D46" s="877"/>
      <c r="E46" s="758"/>
      <c r="F46" s="758"/>
      <c r="G46" s="758"/>
      <c r="H46" s="805"/>
      <c r="I46" s="913" t="str">
        <f t="shared" si="1"/>
        <v>2.10</v>
      </c>
      <c r="J46" s="913" t="str">
        <f t="shared" si="2"/>
        <v>Расходы на капитальный и текущий ремонт основных средств</v>
      </c>
      <c r="K46"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9" t="str">
        <f t="shared" si="4"/>
        <v>2.10</v>
      </c>
      <c r="M46" s="759" t="str">
        <f t="shared" si="5"/>
        <v>Расходы на капитальный и текущий ремонт основных средств</v>
      </c>
      <c r="N46"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2152</v>
      </c>
      <c r="P46" s="867" t="s">
        <v>2130</v>
      </c>
      <c r="Q46" s="867" t="s">
        <v>2152</v>
      </c>
      <c r="R46" s="867" t="s">
        <v>2130</v>
      </c>
      <c r="S46" s="867"/>
      <c r="T46" s="758" t="s">
        <v>2153</v>
      </c>
      <c r="U46" s="758" t="s">
        <v>2153</v>
      </c>
      <c r="V46" s="758" t="s">
        <v>2153</v>
      </c>
      <c r="W46" s="758" t="s">
        <v>2153</v>
      </c>
      <c r="X46" s="758"/>
      <c r="Y46" s="909"/>
      <c r="Z46" s="761" t="s">
        <v>2154</v>
      </c>
      <c r="AA46" s="761" t="s">
        <v>2155</v>
      </c>
      <c r="AB46" s="761" t="s">
        <v>2155</v>
      </c>
      <c r="AC46" s="761" t="s">
        <v>2155</v>
      </c>
      <c r="AD46" s="761"/>
    </row>
    <row r="47" spans="1:30" ht="54" customHeight="1">
      <c r="A47" s="760"/>
      <c r="B47" s="813">
        <v>30</v>
      </c>
      <c r="C47" s="758" t="s">
        <v>2156</v>
      </c>
      <c r="D47" s="877"/>
      <c r="E47" s="758"/>
      <c r="F47" s="758"/>
      <c r="G47" s="758"/>
      <c r="H47" s="805"/>
      <c r="I47" s="913" t="str">
        <f t="shared" si="1"/>
        <v>2.10.1</v>
      </c>
      <c r="J47"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3">
        <f t="shared" si="3"/>
        <v>0</v>
      </c>
      <c r="L47" s="759" t="str">
        <f t="shared" si="4"/>
        <v>2.10.1</v>
      </c>
      <c r="M47"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9" t="str">
        <f t="shared" si="6"/>
        <v/>
      </c>
      <c r="O47" s="867" t="s">
        <v>2157</v>
      </c>
      <c r="P47" s="867" t="s">
        <v>2134</v>
      </c>
      <c r="Q47" s="867" t="s">
        <v>2157</v>
      </c>
      <c r="R47" s="867" t="s">
        <v>2134</v>
      </c>
      <c r="S47" s="867"/>
      <c r="T47" s="758" t="s">
        <v>2158</v>
      </c>
      <c r="U47" s="758" t="s">
        <v>2158</v>
      </c>
      <c r="V47" s="758" t="s">
        <v>2158</v>
      </c>
      <c r="W47" s="758" t="s">
        <v>2158</v>
      </c>
      <c r="X47" s="758"/>
      <c r="Y47" s="909"/>
      <c r="Z47" s="761"/>
      <c r="AA47" s="764"/>
      <c r="AB47" s="764"/>
      <c r="AC47" s="764"/>
      <c r="AD47" s="761"/>
    </row>
    <row r="48" spans="1:30" ht="54" customHeight="1">
      <c r="A48" s="760"/>
      <c r="B48" s="813">
        <v>31</v>
      </c>
      <c r="C48" s="758">
        <v>16</v>
      </c>
      <c r="D48" s="877"/>
      <c r="E48" s="758"/>
      <c r="F48" s="758"/>
      <c r="G48" s="758"/>
      <c r="H48" s="805"/>
      <c r="I48" s="913" t="str">
        <f t="shared" si="1"/>
        <v>2.11</v>
      </c>
      <c r="J48" s="91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9" t="str">
        <f t="shared" si="4"/>
        <v>2.11</v>
      </c>
      <c r="M48" s="759"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2141</v>
      </c>
      <c r="Q48" s="867" t="s">
        <v>2159</v>
      </c>
      <c r="R48" s="867" t="s">
        <v>2141</v>
      </c>
      <c r="S48" s="867"/>
      <c r="T48" s="758"/>
      <c r="U48" s="758" t="s">
        <v>2160</v>
      </c>
      <c r="V48" s="758" t="s">
        <v>2161</v>
      </c>
      <c r="W48" s="758" t="s">
        <v>2161</v>
      </c>
      <c r="X48" s="758"/>
      <c r="Y48" s="909"/>
      <c r="Z48" s="761"/>
      <c r="AA48" s="764" t="s">
        <v>2155</v>
      </c>
      <c r="AB48" s="764" t="s">
        <v>2155</v>
      </c>
      <c r="AC48" s="764" t="s">
        <v>2155</v>
      </c>
      <c r="AD48" s="761"/>
    </row>
    <row r="49" spans="1:30" ht="54" customHeight="1">
      <c r="A49" s="760"/>
      <c r="B49" s="813">
        <v>32</v>
      </c>
      <c r="C49" s="758" t="s">
        <v>2162</v>
      </c>
      <c r="D49" s="877"/>
      <c r="E49" s="758"/>
      <c r="F49" s="758"/>
      <c r="G49" s="758"/>
      <c r="H49" s="805"/>
      <c r="I49" s="913" t="str">
        <f t="shared" si="1"/>
        <v>2.11.1</v>
      </c>
      <c r="J49"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3">
        <f t="shared" si="3"/>
        <v>0</v>
      </c>
      <c r="L49" s="759" t="str">
        <f t="shared" si="4"/>
        <v>2.11.1</v>
      </c>
      <c r="M49"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9" t="str">
        <f t="shared" si="6"/>
        <v/>
      </c>
      <c r="O49" s="867"/>
      <c r="P49" s="867" t="s">
        <v>2145</v>
      </c>
      <c r="Q49" s="867" t="s">
        <v>2163</v>
      </c>
      <c r="R49" s="867" t="s">
        <v>2145</v>
      </c>
      <c r="S49" s="867"/>
      <c r="T49" s="758"/>
      <c r="U49" s="758" t="s">
        <v>2158</v>
      </c>
      <c r="V49" s="758" t="s">
        <v>2158</v>
      </c>
      <c r="W49" s="758" t="s">
        <v>2158</v>
      </c>
      <c r="X49" s="758"/>
      <c r="Y49" s="909"/>
      <c r="Z49" s="761"/>
      <c r="AA49" s="764"/>
      <c r="AB49" s="764"/>
      <c r="AC49" s="764"/>
      <c r="AD49" s="761"/>
    </row>
    <row r="50" spans="1:30" ht="126" customHeight="1">
      <c r="A50" s="760"/>
      <c r="B50" s="813">
        <v>33</v>
      </c>
      <c r="C50" s="758">
        <v>17</v>
      </c>
      <c r="D50" s="877"/>
      <c r="E50" s="758"/>
      <c r="F50" s="758"/>
      <c r="G50" s="758"/>
      <c r="H50" s="805"/>
      <c r="I50" s="913" t="str">
        <f t="shared" ref="I50:I81" si="7">INDEX(TEMPLATE_NUMBER_POINT_FHD,B50,MATCH(TEMPLATE_SPHERE,TEMPLATE_SPHERE_LIST_FOR_NOTE,0))</f>
        <v>2.12</v>
      </c>
      <c r="J50" s="913"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9" t="str">
        <f t="shared" ref="L50:L81" si="10">IF(I50=0,"",I50)</f>
        <v>2.12</v>
      </c>
      <c r="M50" s="759"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5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2159</v>
      </c>
      <c r="P50" s="867" t="s">
        <v>2152</v>
      </c>
      <c r="Q50" s="867" t="s">
        <v>2164</v>
      </c>
      <c r="R50" s="867" t="s">
        <v>2152</v>
      </c>
      <c r="S50" s="867"/>
      <c r="T50" s="758" t="s">
        <v>2165</v>
      </c>
      <c r="U50" s="758" t="s">
        <v>2166</v>
      </c>
      <c r="V50" s="758" t="s">
        <v>2167</v>
      </c>
      <c r="W50" s="758" t="s">
        <v>2168</v>
      </c>
      <c r="X50" s="758"/>
      <c r="Y50" s="909"/>
      <c r="Z50" s="761" t="s">
        <v>2169</v>
      </c>
      <c r="AA50" s="764" t="s">
        <v>2170</v>
      </c>
      <c r="AB50" s="764" t="s">
        <v>2170</v>
      </c>
      <c r="AC50" s="764" t="s">
        <v>2170</v>
      </c>
      <c r="AD50" s="761"/>
    </row>
    <row r="51" spans="1:30" ht="27" customHeight="1">
      <c r="A51" s="760"/>
      <c r="B51" s="813">
        <v>34</v>
      </c>
      <c r="C51" s="758" t="s">
        <v>2171</v>
      </c>
      <c r="D51" s="877"/>
      <c r="E51" s="758"/>
      <c r="F51" s="758"/>
      <c r="G51" s="758"/>
      <c r="H51" s="805"/>
      <c r="I51" s="913">
        <f t="shared" si="7"/>
        <v>0</v>
      </c>
      <c r="J51" s="913">
        <f t="shared" si="8"/>
        <v>0</v>
      </c>
      <c r="K51" s="913">
        <f t="shared" si="9"/>
        <v>0</v>
      </c>
      <c r="L51" s="759" t="str">
        <f t="shared" si="10"/>
        <v/>
      </c>
      <c r="M51" s="759" t="str">
        <f t="shared" si="11"/>
        <v/>
      </c>
      <c r="N51" s="759" t="str">
        <f t="shared" si="12"/>
        <v/>
      </c>
      <c r="O51" s="867" t="s">
        <v>88</v>
      </c>
      <c r="P51" s="867"/>
      <c r="Q51" s="867"/>
      <c r="R51" s="867"/>
      <c r="S51" s="867"/>
      <c r="T51" s="758" t="s">
        <v>2172</v>
      </c>
      <c r="U51" s="758"/>
      <c r="V51" s="758"/>
      <c r="W51" s="758"/>
      <c r="X51" s="758"/>
      <c r="Y51" s="909"/>
      <c r="Z51" s="761"/>
      <c r="AA51" s="764"/>
      <c r="AB51" s="764"/>
      <c r="AC51" s="764"/>
      <c r="AD51" s="761"/>
    </row>
    <row r="52" spans="1:30" ht="36" customHeight="1">
      <c r="A52" s="760"/>
      <c r="B52" s="813">
        <v>35</v>
      </c>
      <c r="C52" s="758" t="s">
        <v>2064</v>
      </c>
      <c r="D52" s="877" t="s">
        <v>2064</v>
      </c>
      <c r="E52" s="758" t="s">
        <v>2064</v>
      </c>
      <c r="F52" s="758" t="s">
        <v>2064</v>
      </c>
      <c r="G52" s="758"/>
      <c r="H52" s="805"/>
      <c r="I52" s="913" t="str">
        <f t="shared" si="7"/>
        <v>3</v>
      </c>
      <c r="J52" s="913" t="str">
        <f t="shared" si="8"/>
        <v>Чистая прибыль, полученная от регулируемого вида деятельности в сфере водоотведения, в том числе:</v>
      </c>
      <c r="K52" s="913" t="str">
        <f t="shared" si="9"/>
        <v>Указывается общая сумма чистой прибыли, полученной от регулируемого вида деятельности.</v>
      </c>
      <c r="L52" s="759" t="str">
        <f t="shared" si="10"/>
        <v>3</v>
      </c>
      <c r="M52" s="759" t="str">
        <f t="shared" si="11"/>
        <v>Чистая прибыль, полученная от регулируемого вида деятельности в сфере водоотведения, в том числе:</v>
      </c>
      <c r="N52" s="759" t="str">
        <f t="shared" si="12"/>
        <v>Указывается общая сумма чистой прибыли, полученной от регулируемого вида деятельности.</v>
      </c>
      <c r="O52" s="867" t="s">
        <v>89</v>
      </c>
      <c r="P52" s="867" t="s">
        <v>88</v>
      </c>
      <c r="Q52" s="867" t="s">
        <v>88</v>
      </c>
      <c r="R52" s="867" t="s">
        <v>88</v>
      </c>
      <c r="S52" s="867"/>
      <c r="T52" s="758" t="s">
        <v>2173</v>
      </c>
      <c r="U52" s="758" t="s">
        <v>2174</v>
      </c>
      <c r="V52" s="758" t="s">
        <v>2175</v>
      </c>
      <c r="W52" s="758" t="s">
        <v>2176</v>
      </c>
      <c r="X52" s="758"/>
      <c r="Y52" s="909"/>
      <c r="Z52" s="761" t="s">
        <v>798</v>
      </c>
      <c r="AA52" s="764" t="s">
        <v>798</v>
      </c>
      <c r="AB52" s="764" t="s">
        <v>798</v>
      </c>
      <c r="AC52" s="764" t="s">
        <v>798</v>
      </c>
      <c r="AD52" s="761"/>
    </row>
    <row r="53" spans="1:30" ht="36" customHeight="1">
      <c r="A53" s="760"/>
      <c r="B53" s="813">
        <v>36</v>
      </c>
      <c r="C53" s="758">
        <v>1</v>
      </c>
      <c r="D53" s="877"/>
      <c r="E53" s="758"/>
      <c r="F53" s="758"/>
      <c r="G53" s="758"/>
      <c r="H53" s="805"/>
      <c r="I53" s="913" t="str">
        <f t="shared" si="7"/>
        <v>3.1</v>
      </c>
      <c r="J53" s="91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3">
        <f t="shared" si="9"/>
        <v>0</v>
      </c>
      <c r="L53" s="759" t="str">
        <f t="shared" si="10"/>
        <v>3.1</v>
      </c>
      <c r="M53" s="75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9" t="str">
        <f t="shared" si="12"/>
        <v/>
      </c>
      <c r="O53" s="867" t="s">
        <v>802</v>
      </c>
      <c r="P53" s="867" t="s">
        <v>465</v>
      </c>
      <c r="Q53" s="867" t="s">
        <v>465</v>
      </c>
      <c r="R53" s="867" t="s">
        <v>465</v>
      </c>
      <c r="S53" s="867"/>
      <c r="T53" s="758" t="s">
        <v>2177</v>
      </c>
      <c r="U53" s="758" t="s">
        <v>2177</v>
      </c>
      <c r="V53" s="758" t="s">
        <v>2177</v>
      </c>
      <c r="W53" s="758" t="s">
        <v>2177</v>
      </c>
      <c r="X53" s="758"/>
      <c r="Y53" s="909"/>
      <c r="Z53" s="761"/>
      <c r="AA53" s="764"/>
      <c r="AB53" s="761"/>
      <c r="AC53" s="761"/>
      <c r="AD53" s="761"/>
    </row>
    <row r="54" spans="1:30" ht="18" customHeight="1">
      <c r="A54" s="760"/>
      <c r="B54" s="813">
        <v>37</v>
      </c>
      <c r="C54" s="758" t="s">
        <v>2070</v>
      </c>
      <c r="D54" s="877" t="s">
        <v>2070</v>
      </c>
      <c r="E54" s="758" t="s">
        <v>2070</v>
      </c>
      <c r="F54" s="758" t="s">
        <v>2070</v>
      </c>
      <c r="G54" s="758"/>
      <c r="H54" s="805"/>
      <c r="I54" s="913" t="str">
        <f t="shared" si="7"/>
        <v>4</v>
      </c>
      <c r="J54" s="913" t="str">
        <f t="shared" si="8"/>
        <v>Изменение стоимости основных фондов, в том числе:</v>
      </c>
      <c r="K54" s="913" t="str">
        <f t="shared" si="9"/>
        <v>Указывается общее изменение стоимости основных фондов.</v>
      </c>
      <c r="L54" s="759" t="str">
        <f t="shared" si="10"/>
        <v>4</v>
      </c>
      <c r="M54" s="759" t="str">
        <f t="shared" si="11"/>
        <v>Изменение стоимости основных фондов, в том числе:</v>
      </c>
      <c r="N54" s="759" t="str">
        <f t="shared" si="12"/>
        <v>Указывается общее изменение стоимости основных фондов.</v>
      </c>
      <c r="O54" s="867" t="s">
        <v>128</v>
      </c>
      <c r="P54" s="867" t="s">
        <v>89</v>
      </c>
      <c r="Q54" s="867" t="s">
        <v>89</v>
      </c>
      <c r="R54" s="867" t="s">
        <v>89</v>
      </c>
      <c r="S54" s="867"/>
      <c r="T54" s="758" t="s">
        <v>800</v>
      </c>
      <c r="U54" s="758" t="s">
        <v>800</v>
      </c>
      <c r="V54" s="758" t="s">
        <v>800</v>
      </c>
      <c r="W54" s="758" t="s">
        <v>800</v>
      </c>
      <c r="X54" s="758"/>
      <c r="Y54" s="909"/>
      <c r="Z54" s="761" t="s">
        <v>801</v>
      </c>
      <c r="AA54" s="761" t="s">
        <v>801</v>
      </c>
      <c r="AB54" s="761" t="s">
        <v>801</v>
      </c>
      <c r="AC54" s="761" t="s">
        <v>801</v>
      </c>
      <c r="AD54" s="761"/>
    </row>
    <row r="55" spans="1:30" ht="36" customHeight="1">
      <c r="A55" s="760"/>
      <c r="B55" s="813">
        <v>38</v>
      </c>
      <c r="C55" s="758">
        <v>1</v>
      </c>
      <c r="D55" s="877"/>
      <c r="E55" s="758"/>
      <c r="F55" s="758"/>
      <c r="G55" s="758"/>
      <c r="H55" s="805"/>
      <c r="I55" s="913" t="str">
        <f t="shared" si="7"/>
        <v>4.1</v>
      </c>
      <c r="J55" s="913" t="str">
        <f t="shared" si="8"/>
        <v>Изменение стоимости основных фондов за счет их ввода в эксплуатацию (вывода из эксплуатации)</v>
      </c>
      <c r="K55" s="913" t="str">
        <f t="shared" si="9"/>
        <v>Указываются общее изменение стоимости основных фондов за счет их ввода в эксплуатацию и вывода из эксплуатации.</v>
      </c>
      <c r="L55" s="759" t="str">
        <f t="shared" si="10"/>
        <v>4.1</v>
      </c>
      <c r="M55" s="759" t="str">
        <f t="shared" si="11"/>
        <v>Изменение стоимости основных фондов за счет их ввода в эксплуатацию (вывода из эксплуатации)</v>
      </c>
      <c r="N55" s="759" t="str">
        <f t="shared" si="12"/>
        <v>Указываются общее изменение стоимости основных фондов за счет их ввода в эксплуатацию и вывода из эксплуатации.</v>
      </c>
      <c r="O55" s="867" t="s">
        <v>454</v>
      </c>
      <c r="P55" s="867" t="s">
        <v>802</v>
      </c>
      <c r="Q55" s="867" t="s">
        <v>802</v>
      </c>
      <c r="R55" s="867" t="s">
        <v>802</v>
      </c>
      <c r="S55" s="867"/>
      <c r="T55" s="758" t="s">
        <v>2178</v>
      </c>
      <c r="U55" s="758" t="s">
        <v>2179</v>
      </c>
      <c r="V55" s="758" t="s">
        <v>2179</v>
      </c>
      <c r="W55" s="758" t="s">
        <v>2179</v>
      </c>
      <c r="X55" s="758"/>
      <c r="Y55" s="909"/>
      <c r="Z55" s="761" t="s">
        <v>2180</v>
      </c>
      <c r="AA55" s="761" t="s">
        <v>2180</v>
      </c>
      <c r="AB55" s="761" t="s">
        <v>2180</v>
      </c>
      <c r="AC55" s="761" t="s">
        <v>2180</v>
      </c>
      <c r="AD55" s="761"/>
    </row>
    <row r="56" spans="1:30" ht="27" customHeight="1">
      <c r="A56" s="760"/>
      <c r="B56" s="813">
        <v>39</v>
      </c>
      <c r="C56" s="758" t="s">
        <v>1071</v>
      </c>
      <c r="D56" s="877"/>
      <c r="E56" s="758"/>
      <c r="F56" s="758"/>
      <c r="G56" s="758"/>
      <c r="H56" s="805"/>
      <c r="I56" s="913" t="str">
        <f t="shared" si="7"/>
        <v>4.1.1</v>
      </c>
      <c r="J56" s="913" t="str">
        <f t="shared" si="8"/>
        <v>Изменение стоимости основных фондов за счет их ввода в эксплуатацию</v>
      </c>
      <c r="K56" s="913" t="str">
        <f t="shared" si="9"/>
        <v>Указываются изменение стоимости основных фондов за счет их ввода в эксплуатацию.</v>
      </c>
      <c r="L56" s="759" t="str">
        <f t="shared" si="10"/>
        <v>4.1.1</v>
      </c>
      <c r="M56" s="759" t="str">
        <f t="shared" si="11"/>
        <v>Изменение стоимости основных фондов за счет их ввода в эксплуатацию</v>
      </c>
      <c r="N56" s="759" t="str">
        <f t="shared" si="12"/>
        <v>Указываются изменение стоимости основных фондов за счет их ввода в эксплуатацию.</v>
      </c>
      <c r="O56" s="867" t="s">
        <v>1189</v>
      </c>
      <c r="P56" s="867" t="s">
        <v>805</v>
      </c>
      <c r="Q56" s="867" t="s">
        <v>805</v>
      </c>
      <c r="R56" s="867" t="s">
        <v>805</v>
      </c>
      <c r="S56" s="867"/>
      <c r="T56" s="758" t="s">
        <v>2181</v>
      </c>
      <c r="U56" s="758" t="s">
        <v>2182</v>
      </c>
      <c r="V56" s="758" t="s">
        <v>2182</v>
      </c>
      <c r="W56" s="758" t="s">
        <v>2182</v>
      </c>
      <c r="X56" s="758"/>
      <c r="Y56" s="909"/>
      <c r="Z56" s="761" t="s">
        <v>807</v>
      </c>
      <c r="AA56" s="761" t="s">
        <v>807</v>
      </c>
      <c r="AB56" s="761" t="s">
        <v>807</v>
      </c>
      <c r="AC56" s="761" t="s">
        <v>807</v>
      </c>
      <c r="AD56" s="761"/>
    </row>
    <row r="57" spans="1:30" ht="27" customHeight="1">
      <c r="A57" s="760"/>
      <c r="B57" s="813">
        <v>40</v>
      </c>
      <c r="C57" s="758" t="s">
        <v>1073</v>
      </c>
      <c r="D57" s="877"/>
      <c r="E57" s="758"/>
      <c r="F57" s="758"/>
      <c r="G57" s="758"/>
      <c r="H57" s="805"/>
      <c r="I57" s="913" t="str">
        <f t="shared" si="7"/>
        <v>4.1.2</v>
      </c>
      <c r="J57" s="913" t="str">
        <f t="shared" si="8"/>
        <v>Изменение стоимости основных фондов за счет их вывода в эксплуатацию</v>
      </c>
      <c r="K57" s="913" t="str">
        <f t="shared" si="9"/>
        <v>Указываются изменение стоимости основных фондов за счет их вывода из эксплуатации.</v>
      </c>
      <c r="L57" s="759" t="str">
        <f t="shared" si="10"/>
        <v>4.1.2</v>
      </c>
      <c r="M57" s="759" t="str">
        <f t="shared" si="11"/>
        <v>Изменение стоимости основных фондов за счет их вывода в эксплуатацию</v>
      </c>
      <c r="N57" s="759" t="str">
        <f t="shared" si="12"/>
        <v>Указываются изменение стоимости основных фондов за счет их вывода из эксплуатации.</v>
      </c>
      <c r="O57" s="867" t="s">
        <v>2183</v>
      </c>
      <c r="P57" s="867" t="s">
        <v>808</v>
      </c>
      <c r="Q57" s="867" t="s">
        <v>808</v>
      </c>
      <c r="R57" s="867" t="s">
        <v>808</v>
      </c>
      <c r="S57" s="867"/>
      <c r="T57" s="758" t="s">
        <v>2184</v>
      </c>
      <c r="U57" s="758" t="s">
        <v>2185</v>
      </c>
      <c r="V57" s="758" t="s">
        <v>2185</v>
      </c>
      <c r="W57" s="758" t="s">
        <v>2185</v>
      </c>
      <c r="X57" s="758"/>
      <c r="Y57" s="909"/>
      <c r="Z57" s="761" t="s">
        <v>810</v>
      </c>
      <c r="AA57" s="761" t="s">
        <v>810</v>
      </c>
      <c r="AB57" s="761" t="s">
        <v>810</v>
      </c>
      <c r="AC57" s="761" t="s">
        <v>810</v>
      </c>
      <c r="AD57" s="761"/>
    </row>
    <row r="58" spans="1:30" ht="18" customHeight="1">
      <c r="A58" s="760"/>
      <c r="B58" s="813">
        <v>41</v>
      </c>
      <c r="C58" s="758">
        <v>2</v>
      </c>
      <c r="D58" s="877"/>
      <c r="E58" s="758"/>
      <c r="F58" s="758"/>
      <c r="G58" s="758"/>
      <c r="H58" s="805"/>
      <c r="I58" s="913" t="str">
        <f t="shared" si="7"/>
        <v>4.2</v>
      </c>
      <c r="J58" s="913" t="str">
        <f t="shared" si="8"/>
        <v>Изменение стоимости основных фондов за счет их переоценки</v>
      </c>
      <c r="K58" s="913">
        <f t="shared" si="9"/>
        <v>0</v>
      </c>
      <c r="L58" s="759" t="str">
        <f t="shared" si="10"/>
        <v>4.2</v>
      </c>
      <c r="M58" s="759" t="str">
        <f t="shared" si="11"/>
        <v>Изменение стоимости основных фондов за счет их переоценки</v>
      </c>
      <c r="N58" s="759" t="str">
        <f t="shared" si="12"/>
        <v/>
      </c>
      <c r="O58" s="867" t="s">
        <v>456</v>
      </c>
      <c r="P58" s="867" t="s">
        <v>845</v>
      </c>
      <c r="Q58" s="867" t="s">
        <v>845</v>
      </c>
      <c r="R58" s="867" t="s">
        <v>845</v>
      </c>
      <c r="S58" s="867"/>
      <c r="T58" s="758" t="s">
        <v>2186</v>
      </c>
      <c r="U58" s="758" t="s">
        <v>2186</v>
      </c>
      <c r="V58" s="758" t="s">
        <v>2186</v>
      </c>
      <c r="W58" s="758" t="s">
        <v>2186</v>
      </c>
      <c r="X58" s="758"/>
      <c r="Y58" s="909"/>
      <c r="Z58" s="761"/>
      <c r="AA58" s="764"/>
      <c r="AB58" s="761"/>
      <c r="AC58" s="761"/>
      <c r="AD58" s="761"/>
    </row>
    <row r="59" spans="1:30" ht="36" customHeight="1">
      <c r="A59" s="760"/>
      <c r="B59" s="813">
        <v>42</v>
      </c>
      <c r="C59" s="758">
        <v>3</v>
      </c>
      <c r="D59" s="877" t="s">
        <v>2171</v>
      </c>
      <c r="E59" s="758" t="s">
        <v>2171</v>
      </c>
      <c r="F59" s="758" t="s">
        <v>2171</v>
      </c>
      <c r="G59" s="758"/>
      <c r="H59" s="805"/>
      <c r="I59" s="913" t="str">
        <f t="shared" si="7"/>
        <v>5</v>
      </c>
      <c r="J59" s="913" t="str">
        <f t="shared" si="8"/>
        <v>Валовая прибыль (убытки) от продажи товаров и услуг по регулируемым видам деятельности в сфере водоотведения</v>
      </c>
      <c r="K59" s="913">
        <f t="shared" si="9"/>
        <v>0</v>
      </c>
      <c r="L59" s="759" t="str">
        <f t="shared" si="10"/>
        <v>5</v>
      </c>
      <c r="M59" s="759" t="str">
        <f t="shared" si="11"/>
        <v>Валовая прибыль (убытки) от продажи товаров и услуг по регулируемым видам деятельности в сфере водоотведения</v>
      </c>
      <c r="N59" s="759" t="str">
        <f t="shared" si="12"/>
        <v/>
      </c>
      <c r="O59" s="867"/>
      <c r="P59" s="867" t="s">
        <v>128</v>
      </c>
      <c r="Q59" s="867" t="s">
        <v>128</v>
      </c>
      <c r="R59" s="867" t="s">
        <v>128</v>
      </c>
      <c r="S59" s="867"/>
      <c r="T59" s="758"/>
      <c r="U59" s="758" t="s">
        <v>2187</v>
      </c>
      <c r="V59" s="758" t="s">
        <v>2188</v>
      </c>
      <c r="W59" s="758" t="s">
        <v>2189</v>
      </c>
      <c r="X59" s="758"/>
      <c r="Y59" s="909"/>
      <c r="Z59" s="761"/>
      <c r="AA59" s="764"/>
      <c r="AB59" s="761"/>
      <c r="AC59" s="761"/>
      <c r="AD59" s="761"/>
    </row>
    <row r="60" spans="1:30" ht="81" customHeight="1">
      <c r="A60" s="760"/>
      <c r="B60" s="813">
        <v>43</v>
      </c>
      <c r="C60" s="758" t="s">
        <v>2190</v>
      </c>
      <c r="D60" s="877" t="s">
        <v>2190</v>
      </c>
      <c r="E60" s="758" t="s">
        <v>2190</v>
      </c>
      <c r="F60" s="758" t="s">
        <v>2190</v>
      </c>
      <c r="G60" s="758"/>
      <c r="H60" s="805"/>
      <c r="I60" s="913" t="str">
        <f t="shared" si="7"/>
        <v>6</v>
      </c>
      <c r="J60" s="913" t="str">
        <f t="shared" si="8"/>
        <v>Годовая бухгалтерская (финансовая) отчетность, включая бухгалтерский баланс и приложения к нему</v>
      </c>
      <c r="K60" s="91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9" t="str">
        <f t="shared" si="10"/>
        <v>6</v>
      </c>
      <c r="M60" s="759" t="str">
        <f t="shared" si="11"/>
        <v>Годовая бухгалтерская (финансовая) отчетность, включая бухгалтерский баланс и приложения к нему</v>
      </c>
      <c r="N60" s="75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90</v>
      </c>
      <c r="P60" s="867" t="s">
        <v>90</v>
      </c>
      <c r="Q60" s="867" t="s">
        <v>90</v>
      </c>
      <c r="R60" s="867" t="s">
        <v>90</v>
      </c>
      <c r="S60" s="867"/>
      <c r="T60" s="758" t="s">
        <v>814</v>
      </c>
      <c r="U60" s="758" t="s">
        <v>814</v>
      </c>
      <c r="V60" s="758" t="s">
        <v>814</v>
      </c>
      <c r="W60" s="758" t="s">
        <v>814</v>
      </c>
      <c r="X60" s="758"/>
      <c r="Y60" s="909"/>
      <c r="Z60" s="761" t="s">
        <v>2191</v>
      </c>
      <c r="AA60" s="764" t="s">
        <v>2192</v>
      </c>
      <c r="AB60" s="761" t="s">
        <v>2193</v>
      </c>
      <c r="AC60" s="761" t="s">
        <v>2192</v>
      </c>
      <c r="AD60" s="761"/>
    </row>
    <row r="61" spans="1:30" ht="9" customHeight="1">
      <c r="A61" s="760"/>
      <c r="B61" s="813">
        <v>44</v>
      </c>
      <c r="C61" s="758"/>
      <c r="D61" s="877" t="s">
        <v>2194</v>
      </c>
      <c r="E61" s="758"/>
      <c r="F61" s="758"/>
      <c r="G61" s="758"/>
      <c r="H61" s="805"/>
      <c r="I61" s="913">
        <f t="shared" si="7"/>
        <v>0</v>
      </c>
      <c r="J61" s="913">
        <f t="shared" si="8"/>
        <v>0</v>
      </c>
      <c r="K61" s="913">
        <f t="shared" si="9"/>
        <v>0</v>
      </c>
      <c r="L61" s="759" t="str">
        <f t="shared" si="10"/>
        <v/>
      </c>
      <c r="M61" s="759" t="str">
        <f t="shared" si="11"/>
        <v/>
      </c>
      <c r="N61" s="759" t="str">
        <f t="shared" si="12"/>
        <v/>
      </c>
      <c r="O61" s="867"/>
      <c r="P61" s="867" t="s">
        <v>91</v>
      </c>
      <c r="Q61" s="867"/>
      <c r="R61" s="867"/>
      <c r="S61" s="867"/>
      <c r="T61" s="758"/>
      <c r="U61" s="758" t="s">
        <v>2195</v>
      </c>
      <c r="V61" s="758"/>
      <c r="W61" s="758"/>
      <c r="X61" s="758"/>
      <c r="Y61" s="909"/>
      <c r="Z61" s="761"/>
      <c r="AA61" s="764"/>
      <c r="AB61" s="761"/>
      <c r="AC61" s="761"/>
      <c r="AD61" s="761"/>
    </row>
    <row r="62" spans="1:30" ht="9" customHeight="1">
      <c r="A62" s="760"/>
      <c r="B62" s="813">
        <v>45</v>
      </c>
      <c r="C62" s="758"/>
      <c r="D62" s="877" t="s">
        <v>2196</v>
      </c>
      <c r="E62" s="758"/>
      <c r="F62" s="758"/>
      <c r="G62" s="758"/>
      <c r="H62" s="805"/>
      <c r="I62" s="913">
        <f t="shared" si="7"/>
        <v>0</v>
      </c>
      <c r="J62" s="913">
        <f t="shared" si="8"/>
        <v>0</v>
      </c>
      <c r="K62" s="913">
        <f t="shared" si="9"/>
        <v>0</v>
      </c>
      <c r="L62" s="759" t="str">
        <f t="shared" si="10"/>
        <v/>
      </c>
      <c r="M62" s="759" t="str">
        <f t="shared" si="11"/>
        <v/>
      </c>
      <c r="N62" s="759" t="str">
        <f t="shared" si="12"/>
        <v/>
      </c>
      <c r="O62" s="867"/>
      <c r="P62" s="867" t="s">
        <v>138</v>
      </c>
      <c r="Q62" s="867"/>
      <c r="R62" s="867"/>
      <c r="S62" s="867"/>
      <c r="T62" s="758"/>
      <c r="U62" s="758" t="s">
        <v>2197</v>
      </c>
      <c r="V62" s="758"/>
      <c r="W62" s="758"/>
      <c r="X62" s="758"/>
      <c r="Y62" s="909"/>
      <c r="Z62" s="761"/>
      <c r="AA62" s="764"/>
      <c r="AB62" s="761"/>
      <c r="AC62" s="761"/>
      <c r="AD62" s="761"/>
    </row>
    <row r="63" spans="1:30" ht="18" customHeight="1">
      <c r="A63" s="760"/>
      <c r="B63" s="813">
        <v>46</v>
      </c>
      <c r="C63" s="758"/>
      <c r="D63" s="877" t="s">
        <v>2198</v>
      </c>
      <c r="E63" s="758"/>
      <c r="F63" s="758"/>
      <c r="G63" s="758"/>
      <c r="H63" s="805"/>
      <c r="I63" s="913">
        <f t="shared" si="7"/>
        <v>0</v>
      </c>
      <c r="J63" s="913">
        <f t="shared" si="8"/>
        <v>0</v>
      </c>
      <c r="K63" s="913">
        <f t="shared" si="9"/>
        <v>0</v>
      </c>
      <c r="L63" s="759" t="str">
        <f t="shared" si="10"/>
        <v/>
      </c>
      <c r="M63" s="759" t="str">
        <f t="shared" si="11"/>
        <v/>
      </c>
      <c r="N63" s="759" t="str">
        <f t="shared" si="12"/>
        <v/>
      </c>
      <c r="O63" s="867"/>
      <c r="P63" s="867" t="s">
        <v>151</v>
      </c>
      <c r="Q63" s="867"/>
      <c r="R63" s="867"/>
      <c r="S63" s="867"/>
      <c r="T63" s="758"/>
      <c r="U63" s="758" t="s">
        <v>2199</v>
      </c>
      <c r="V63" s="758"/>
      <c r="W63" s="758"/>
      <c r="X63" s="758"/>
      <c r="Y63" s="909"/>
      <c r="Z63" s="761"/>
      <c r="AA63" s="764"/>
      <c r="AB63" s="761"/>
      <c r="AC63" s="761"/>
      <c r="AD63" s="761"/>
    </row>
    <row r="64" spans="1:30" ht="18" customHeight="1">
      <c r="A64" s="760"/>
      <c r="B64" s="813">
        <v>47</v>
      </c>
      <c r="C64" s="758"/>
      <c r="D64" s="877" t="s">
        <v>2200</v>
      </c>
      <c r="E64" s="758"/>
      <c r="F64" s="758"/>
      <c r="G64" s="758"/>
      <c r="H64" s="805"/>
      <c r="I64" s="913">
        <f t="shared" si="7"/>
        <v>0</v>
      </c>
      <c r="J64" s="913">
        <f t="shared" si="8"/>
        <v>0</v>
      </c>
      <c r="K64" s="913">
        <f t="shared" si="9"/>
        <v>0</v>
      </c>
      <c r="L64" s="759" t="str">
        <f t="shared" si="10"/>
        <v/>
      </c>
      <c r="M64" s="759" t="str">
        <f t="shared" si="11"/>
        <v/>
      </c>
      <c r="N64" s="759" t="str">
        <f t="shared" si="12"/>
        <v/>
      </c>
      <c r="O64" s="867"/>
      <c r="P64" s="867" t="s">
        <v>157</v>
      </c>
      <c r="Q64" s="867"/>
      <c r="R64" s="867"/>
      <c r="S64" s="867"/>
      <c r="T64" s="758"/>
      <c r="U64" s="758" t="s">
        <v>2201</v>
      </c>
      <c r="V64" s="758"/>
      <c r="W64" s="758"/>
      <c r="X64" s="758"/>
      <c r="Y64" s="909"/>
      <c r="Z64" s="761"/>
      <c r="AA64" s="764" t="s">
        <v>2202</v>
      </c>
      <c r="AB64" s="761"/>
      <c r="AC64" s="761"/>
      <c r="AD64" s="761"/>
    </row>
    <row r="65" spans="1:30" ht="18" customHeight="1">
      <c r="A65" s="760"/>
      <c r="B65" s="813">
        <v>48</v>
      </c>
      <c r="C65" s="758"/>
      <c r="D65" s="877"/>
      <c r="E65" s="758"/>
      <c r="F65" s="758"/>
      <c r="G65" s="758"/>
      <c r="H65" s="805"/>
      <c r="I65" s="913">
        <f t="shared" si="7"/>
        <v>0</v>
      </c>
      <c r="J65" s="913">
        <f t="shared" si="8"/>
        <v>0</v>
      </c>
      <c r="K65" s="913">
        <f t="shared" si="9"/>
        <v>0</v>
      </c>
      <c r="L65" s="759" t="str">
        <f t="shared" si="10"/>
        <v/>
      </c>
      <c r="M65" s="759" t="str">
        <f t="shared" si="11"/>
        <v/>
      </c>
      <c r="N65" s="759" t="str">
        <f t="shared" si="12"/>
        <v/>
      </c>
      <c r="O65" s="867"/>
      <c r="P65" s="867" t="s">
        <v>2112</v>
      </c>
      <c r="Q65" s="867"/>
      <c r="R65" s="867"/>
      <c r="S65" s="867"/>
      <c r="T65" s="758"/>
      <c r="U65" s="758" t="s">
        <v>2203</v>
      </c>
      <c r="V65" s="758"/>
      <c r="W65" s="758"/>
      <c r="X65" s="758"/>
      <c r="Y65" s="909"/>
      <c r="Z65" s="761"/>
      <c r="AA65" s="764"/>
      <c r="AB65" s="761"/>
      <c r="AC65" s="761"/>
      <c r="AD65" s="761"/>
    </row>
    <row r="66" spans="1:30" ht="18" customHeight="1">
      <c r="A66" s="760"/>
      <c r="B66" s="813">
        <v>49</v>
      </c>
      <c r="C66" s="758"/>
      <c r="D66" s="877"/>
      <c r="E66" s="758"/>
      <c r="F66" s="758"/>
      <c r="G66" s="758"/>
      <c r="H66" s="805"/>
      <c r="I66" s="913">
        <f t="shared" si="7"/>
        <v>0</v>
      </c>
      <c r="J66" s="913">
        <f t="shared" si="8"/>
        <v>0</v>
      </c>
      <c r="K66" s="913">
        <f t="shared" si="9"/>
        <v>0</v>
      </c>
      <c r="L66" s="759" t="str">
        <f t="shared" si="10"/>
        <v/>
      </c>
      <c r="M66" s="759" t="str">
        <f t="shared" si="11"/>
        <v/>
      </c>
      <c r="N66" s="759" t="str">
        <f t="shared" si="12"/>
        <v/>
      </c>
      <c r="O66" s="867"/>
      <c r="P66" s="867" t="s">
        <v>2116</v>
      </c>
      <c r="Q66" s="867"/>
      <c r="R66" s="867"/>
      <c r="S66" s="867"/>
      <c r="T66" s="758"/>
      <c r="U66" s="758" t="s">
        <v>2204</v>
      </c>
      <c r="V66" s="758"/>
      <c r="W66" s="758"/>
      <c r="X66" s="758"/>
      <c r="Y66" s="909"/>
      <c r="Z66" s="761"/>
      <c r="AA66" s="764"/>
      <c r="AB66" s="761"/>
      <c r="AC66" s="761"/>
      <c r="AD66" s="761"/>
    </row>
    <row r="67" spans="1:30" ht="27" customHeight="1">
      <c r="A67" s="760"/>
      <c r="B67" s="813">
        <v>50</v>
      </c>
      <c r="C67" s="758"/>
      <c r="D67" s="877"/>
      <c r="E67" s="758"/>
      <c r="F67" s="758"/>
      <c r="G67" s="758"/>
      <c r="H67" s="805"/>
      <c r="I67" s="913">
        <f t="shared" si="7"/>
        <v>0</v>
      </c>
      <c r="J67" s="913">
        <f t="shared" si="8"/>
        <v>0</v>
      </c>
      <c r="K67" s="913">
        <f t="shared" si="9"/>
        <v>0</v>
      </c>
      <c r="L67" s="759" t="str">
        <f t="shared" si="10"/>
        <v/>
      </c>
      <c r="M67" s="759" t="str">
        <f t="shared" si="11"/>
        <v/>
      </c>
      <c r="N67" s="759" t="str">
        <f t="shared" si="12"/>
        <v/>
      </c>
      <c r="O67" s="867"/>
      <c r="P67" s="867" t="s">
        <v>2205</v>
      </c>
      <c r="Q67" s="867"/>
      <c r="R67" s="867"/>
      <c r="S67" s="867"/>
      <c r="T67" s="758"/>
      <c r="U67" s="758" t="s">
        <v>2206</v>
      </c>
      <c r="V67" s="758"/>
      <c r="W67" s="758"/>
      <c r="X67" s="758"/>
      <c r="Y67" s="909"/>
      <c r="Z67" s="761"/>
      <c r="AA67" s="764"/>
      <c r="AB67" s="761"/>
      <c r="AC67" s="761"/>
      <c r="AD67" s="761"/>
    </row>
    <row r="68" spans="1:30" ht="27" customHeight="1">
      <c r="A68" s="760"/>
      <c r="B68" s="813">
        <v>51</v>
      </c>
      <c r="C68" s="758"/>
      <c r="D68" s="877"/>
      <c r="E68" s="758"/>
      <c r="F68" s="758"/>
      <c r="G68" s="758"/>
      <c r="H68" s="805"/>
      <c r="I68" s="913">
        <f t="shared" si="7"/>
        <v>0</v>
      </c>
      <c r="J68" s="913">
        <f t="shared" si="8"/>
        <v>0</v>
      </c>
      <c r="K68" s="913">
        <f t="shared" si="9"/>
        <v>0</v>
      </c>
      <c r="L68" s="759" t="str">
        <f t="shared" si="10"/>
        <v/>
      </c>
      <c r="M68" s="759" t="str">
        <f t="shared" si="11"/>
        <v/>
      </c>
      <c r="N68" s="759" t="str">
        <f t="shared" si="12"/>
        <v/>
      </c>
      <c r="O68" s="867"/>
      <c r="P68" s="867" t="s">
        <v>2207</v>
      </c>
      <c r="Q68" s="867"/>
      <c r="R68" s="867"/>
      <c r="S68" s="867"/>
      <c r="T68" s="758"/>
      <c r="U68" s="758" t="s">
        <v>2208</v>
      </c>
      <c r="V68" s="758"/>
      <c r="W68" s="758"/>
      <c r="X68" s="758"/>
      <c r="Y68" s="909"/>
      <c r="Z68" s="761"/>
      <c r="AA68" s="764"/>
      <c r="AB68" s="761"/>
      <c r="AC68" s="761"/>
      <c r="AD68" s="761"/>
    </row>
    <row r="69" spans="1:30" ht="9" customHeight="1">
      <c r="A69" s="760"/>
      <c r="B69" s="813">
        <v>52</v>
      </c>
      <c r="C69" s="758"/>
      <c r="D69" s="877" t="s">
        <v>2209</v>
      </c>
      <c r="E69" s="758"/>
      <c r="F69" s="758"/>
      <c r="G69" s="758"/>
      <c r="H69" s="805"/>
      <c r="I69" s="913">
        <f t="shared" si="7"/>
        <v>0</v>
      </c>
      <c r="J69" s="913">
        <f t="shared" si="8"/>
        <v>0</v>
      </c>
      <c r="K69" s="913">
        <f t="shared" si="9"/>
        <v>0</v>
      </c>
      <c r="L69" s="759" t="str">
        <f t="shared" si="10"/>
        <v/>
      </c>
      <c r="M69" s="759" t="str">
        <f t="shared" si="11"/>
        <v/>
      </c>
      <c r="N69" s="759" t="str">
        <f t="shared" si="12"/>
        <v/>
      </c>
      <c r="O69" s="867"/>
      <c r="P69" s="867" t="s">
        <v>162</v>
      </c>
      <c r="Q69" s="867"/>
      <c r="R69" s="867"/>
      <c r="S69" s="867"/>
      <c r="T69" s="758"/>
      <c r="U69" s="758" t="s">
        <v>2210</v>
      </c>
      <c r="V69" s="758"/>
      <c r="W69" s="758"/>
      <c r="X69" s="758"/>
      <c r="Y69" s="909"/>
      <c r="Z69" s="761"/>
      <c r="AA69" s="764"/>
      <c r="AB69" s="761"/>
      <c r="AC69" s="761"/>
      <c r="AD69" s="761"/>
    </row>
    <row r="70" spans="1:30" ht="27" customHeight="1">
      <c r="A70" s="760"/>
      <c r="B70" s="813">
        <v>53</v>
      </c>
      <c r="C70" s="758"/>
      <c r="D70" s="877"/>
      <c r="E70" s="758" t="s">
        <v>2194</v>
      </c>
      <c r="F70" s="758"/>
      <c r="G70" s="758"/>
      <c r="H70" s="805"/>
      <c r="I70" s="913">
        <f t="shared" si="7"/>
        <v>0</v>
      </c>
      <c r="J70" s="913">
        <f t="shared" si="8"/>
        <v>0</v>
      </c>
      <c r="K70" s="913">
        <f t="shared" si="9"/>
        <v>0</v>
      </c>
      <c r="L70" s="759" t="str">
        <f t="shared" si="10"/>
        <v/>
      </c>
      <c r="M70" s="759" t="str">
        <f t="shared" si="11"/>
        <v/>
      </c>
      <c r="N70" s="759" t="str">
        <f t="shared" si="12"/>
        <v/>
      </c>
      <c r="O70" s="867"/>
      <c r="P70" s="867"/>
      <c r="Q70" s="867" t="s">
        <v>91</v>
      </c>
      <c r="R70" s="867"/>
      <c r="S70" s="867"/>
      <c r="T70" s="758"/>
      <c r="U70" s="758"/>
      <c r="V70" s="758" t="s">
        <v>2211</v>
      </c>
      <c r="W70" s="758"/>
      <c r="X70" s="758"/>
      <c r="Y70" s="909"/>
      <c r="Z70" s="761"/>
      <c r="AA70" s="764"/>
      <c r="AB70" s="761"/>
      <c r="AC70" s="761"/>
      <c r="AD70" s="761"/>
    </row>
    <row r="71" spans="1:30" ht="36" customHeight="1">
      <c r="A71" s="760"/>
      <c r="B71" s="813">
        <v>54</v>
      </c>
      <c r="C71" s="758"/>
      <c r="D71" s="877"/>
      <c r="E71" s="758" t="s">
        <v>2196</v>
      </c>
      <c r="F71" s="758"/>
      <c r="G71" s="758"/>
      <c r="H71" s="805"/>
      <c r="I71" s="913">
        <f t="shared" si="7"/>
        <v>0</v>
      </c>
      <c r="J71" s="913">
        <f t="shared" si="8"/>
        <v>0</v>
      </c>
      <c r="K71" s="913">
        <f t="shared" si="9"/>
        <v>0</v>
      </c>
      <c r="L71" s="759" t="str">
        <f t="shared" si="10"/>
        <v/>
      </c>
      <c r="M71" s="759" t="str">
        <f t="shared" si="11"/>
        <v/>
      </c>
      <c r="N71" s="759" t="str">
        <f t="shared" si="12"/>
        <v/>
      </c>
      <c r="O71" s="867"/>
      <c r="P71" s="867"/>
      <c r="Q71" s="867" t="s">
        <v>138</v>
      </c>
      <c r="R71" s="867"/>
      <c r="S71" s="867"/>
      <c r="T71" s="758"/>
      <c r="U71" s="758"/>
      <c r="V71" s="758" t="s">
        <v>2212</v>
      </c>
      <c r="W71" s="758"/>
      <c r="X71" s="758"/>
      <c r="Y71" s="909"/>
      <c r="Z71" s="761"/>
      <c r="AA71" s="764"/>
      <c r="AB71" s="761"/>
      <c r="AC71" s="761"/>
      <c r="AD71" s="761"/>
    </row>
    <row r="72" spans="1:30" ht="27" customHeight="1">
      <c r="A72" s="760"/>
      <c r="B72" s="813">
        <v>55</v>
      </c>
      <c r="C72" s="758"/>
      <c r="D72" s="877"/>
      <c r="E72" s="758" t="s">
        <v>2198</v>
      </c>
      <c r="F72" s="758"/>
      <c r="G72" s="758"/>
      <c r="H72" s="805"/>
      <c r="I72" s="913">
        <f t="shared" si="7"/>
        <v>0</v>
      </c>
      <c r="J72" s="913">
        <f t="shared" si="8"/>
        <v>0</v>
      </c>
      <c r="K72" s="913">
        <f t="shared" si="9"/>
        <v>0</v>
      </c>
      <c r="L72" s="759" t="str">
        <f t="shared" si="10"/>
        <v/>
      </c>
      <c r="M72" s="759" t="str">
        <f t="shared" si="11"/>
        <v/>
      </c>
      <c r="N72" s="759" t="str">
        <f t="shared" si="12"/>
        <v/>
      </c>
      <c r="O72" s="867"/>
      <c r="P72" s="867"/>
      <c r="Q72" s="867" t="s">
        <v>151</v>
      </c>
      <c r="R72" s="867"/>
      <c r="S72" s="867"/>
      <c r="T72" s="758"/>
      <c r="U72" s="758"/>
      <c r="V72" s="758" t="s">
        <v>2213</v>
      </c>
      <c r="W72" s="758"/>
      <c r="X72" s="758"/>
      <c r="Y72" s="909"/>
      <c r="Z72" s="761"/>
      <c r="AA72" s="764"/>
      <c r="AB72" s="761"/>
      <c r="AC72" s="761"/>
      <c r="AD72" s="761"/>
    </row>
    <row r="73" spans="1:30" ht="36" customHeight="1">
      <c r="A73" s="760"/>
      <c r="B73" s="813">
        <v>56</v>
      </c>
      <c r="C73" s="758"/>
      <c r="D73" s="877"/>
      <c r="E73" s="758" t="s">
        <v>2200</v>
      </c>
      <c r="F73" s="758"/>
      <c r="G73" s="758"/>
      <c r="H73" s="805"/>
      <c r="I73" s="913">
        <f t="shared" si="7"/>
        <v>0</v>
      </c>
      <c r="J73" s="913">
        <f t="shared" si="8"/>
        <v>0</v>
      </c>
      <c r="K73" s="913">
        <f t="shared" si="9"/>
        <v>0</v>
      </c>
      <c r="L73" s="759" t="str">
        <f t="shared" si="10"/>
        <v/>
      </c>
      <c r="M73" s="759" t="str">
        <f t="shared" si="11"/>
        <v/>
      </c>
      <c r="N73" s="759" t="str">
        <f t="shared" si="12"/>
        <v/>
      </c>
      <c r="O73" s="867"/>
      <c r="P73" s="867"/>
      <c r="Q73" s="867" t="s">
        <v>157</v>
      </c>
      <c r="R73" s="867"/>
      <c r="S73" s="867"/>
      <c r="T73" s="758"/>
      <c r="U73" s="758"/>
      <c r="V73" s="758" t="s">
        <v>2214</v>
      </c>
      <c r="W73" s="758"/>
      <c r="X73" s="758"/>
      <c r="Y73" s="909"/>
      <c r="Z73" s="761"/>
      <c r="AA73" s="764"/>
      <c r="AB73" s="761"/>
      <c r="AC73" s="761"/>
      <c r="AD73" s="761"/>
    </row>
    <row r="74" spans="1:30" ht="18" customHeight="1">
      <c r="A74" s="760"/>
      <c r="B74" s="813">
        <v>57</v>
      </c>
      <c r="C74" s="758"/>
      <c r="D74" s="877"/>
      <c r="E74" s="758" t="s">
        <v>2209</v>
      </c>
      <c r="F74" s="758"/>
      <c r="G74" s="758"/>
      <c r="H74" s="805"/>
      <c r="I74" s="913">
        <f t="shared" si="7"/>
        <v>0</v>
      </c>
      <c r="J74" s="913">
        <f t="shared" si="8"/>
        <v>0</v>
      </c>
      <c r="K74" s="913">
        <f t="shared" si="9"/>
        <v>0</v>
      </c>
      <c r="L74" s="759" t="str">
        <f t="shared" si="10"/>
        <v/>
      </c>
      <c r="M74" s="759" t="str">
        <f t="shared" si="11"/>
        <v/>
      </c>
      <c r="N74" s="759" t="str">
        <f t="shared" si="12"/>
        <v/>
      </c>
      <c r="O74" s="867"/>
      <c r="P74" s="867"/>
      <c r="Q74" s="867" t="s">
        <v>162</v>
      </c>
      <c r="R74" s="867"/>
      <c r="S74" s="867"/>
      <c r="T74" s="758"/>
      <c r="U74" s="758"/>
      <c r="V74" s="758" t="s">
        <v>2215</v>
      </c>
      <c r="W74" s="758"/>
      <c r="X74" s="758"/>
      <c r="Y74" s="909"/>
      <c r="Z74" s="761"/>
      <c r="AA74" s="764"/>
      <c r="AB74" s="761"/>
      <c r="AC74" s="761"/>
      <c r="AD74" s="761"/>
    </row>
    <row r="75" spans="1:30" ht="18" customHeight="1">
      <c r="A75" s="760"/>
      <c r="B75" s="813">
        <v>58</v>
      </c>
      <c r="C75" s="758"/>
      <c r="D75" s="877"/>
      <c r="E75" s="758"/>
      <c r="F75" s="758" t="s">
        <v>2194</v>
      </c>
      <c r="G75" s="758"/>
      <c r="H75" s="805"/>
      <c r="I75" s="913" t="str">
        <f t="shared" si="7"/>
        <v>7</v>
      </c>
      <c r="J75" s="913" t="str">
        <f t="shared" si="8"/>
        <v>Объём сточных вод, принятых от потребителей</v>
      </c>
      <c r="K75" s="913">
        <f t="shared" si="9"/>
        <v>0</v>
      </c>
      <c r="L75" s="759" t="str">
        <f t="shared" si="10"/>
        <v>7</v>
      </c>
      <c r="M75" s="759" t="str">
        <f t="shared" si="11"/>
        <v>Объём сточных вод, принятых от потребителей</v>
      </c>
      <c r="N75" s="759" t="str">
        <f t="shared" si="12"/>
        <v/>
      </c>
      <c r="O75" s="867"/>
      <c r="P75" s="867"/>
      <c r="Q75" s="867"/>
      <c r="R75" s="867" t="s">
        <v>91</v>
      </c>
      <c r="S75" s="867"/>
      <c r="T75" s="758"/>
      <c r="U75" s="758"/>
      <c r="V75" s="758"/>
      <c r="W75" s="758" t="s">
        <v>2216</v>
      </c>
      <c r="X75" s="758"/>
      <c r="Y75" s="909"/>
      <c r="Z75" s="761"/>
      <c r="AA75" s="764"/>
      <c r="AB75" s="761"/>
      <c r="AC75" s="761"/>
      <c r="AD75" s="761"/>
    </row>
    <row r="76" spans="1:30" ht="36" customHeight="1">
      <c r="A76" s="760"/>
      <c r="B76" s="813">
        <v>59</v>
      </c>
      <c r="C76" s="758"/>
      <c r="D76" s="877"/>
      <c r="E76" s="758"/>
      <c r="F76" s="758" t="s">
        <v>2196</v>
      </c>
      <c r="G76" s="758"/>
      <c r="H76" s="805"/>
      <c r="I76" s="913" t="str">
        <f t="shared" si="7"/>
        <v>8</v>
      </c>
      <c r="J76" s="913" t="str">
        <f t="shared" si="8"/>
        <v>Объём сточных вод, принятых от других регулируемых организаций, осуществляющих водоотведение и (или) очистку сточных вод</v>
      </c>
      <c r="K76" s="913">
        <f t="shared" si="9"/>
        <v>0</v>
      </c>
      <c r="L76" s="759" t="str">
        <f t="shared" si="10"/>
        <v>8</v>
      </c>
      <c r="M76" s="759" t="str">
        <f t="shared" si="11"/>
        <v>Объём сточных вод, принятых от других регулируемых организаций, осуществляющих водоотведение и (или) очистку сточных вод</v>
      </c>
      <c r="N76" s="759" t="str">
        <f t="shared" si="12"/>
        <v/>
      </c>
      <c r="O76" s="867"/>
      <c r="P76" s="867"/>
      <c r="Q76" s="867"/>
      <c r="R76" s="867" t="s">
        <v>138</v>
      </c>
      <c r="S76" s="867"/>
      <c r="T76" s="758"/>
      <c r="U76" s="758"/>
      <c r="V76" s="758"/>
      <c r="W76" s="758" t="s">
        <v>2217</v>
      </c>
      <c r="X76" s="758"/>
      <c r="Y76" s="909"/>
      <c r="Z76" s="761"/>
      <c r="AA76" s="764"/>
      <c r="AB76" s="761"/>
      <c r="AC76" s="761"/>
      <c r="AD76" s="761"/>
    </row>
    <row r="77" spans="1:30" ht="18" customHeight="1">
      <c r="A77" s="760"/>
      <c r="B77" s="813">
        <v>60</v>
      </c>
      <c r="C77" s="758"/>
      <c r="D77" s="877"/>
      <c r="E77" s="758"/>
      <c r="F77" s="758" t="s">
        <v>2198</v>
      </c>
      <c r="G77" s="758"/>
      <c r="H77" s="805"/>
      <c r="I77" s="913" t="str">
        <f t="shared" si="7"/>
        <v>9</v>
      </c>
      <c r="J77" s="913" t="str">
        <f t="shared" si="8"/>
        <v>Объём сточных вод, пропущенных через очистные сооружения</v>
      </c>
      <c r="K77" s="913">
        <f t="shared" si="9"/>
        <v>0</v>
      </c>
      <c r="L77" s="759" t="str">
        <f t="shared" si="10"/>
        <v>9</v>
      </c>
      <c r="M77" s="759" t="str">
        <f t="shared" si="11"/>
        <v>Объём сточных вод, пропущенных через очистные сооружения</v>
      </c>
      <c r="N77" s="759" t="str">
        <f t="shared" si="12"/>
        <v/>
      </c>
      <c r="O77" s="867"/>
      <c r="P77" s="867"/>
      <c r="Q77" s="867"/>
      <c r="R77" s="867" t="s">
        <v>151</v>
      </c>
      <c r="S77" s="867"/>
      <c r="T77" s="758"/>
      <c r="U77" s="758"/>
      <c r="V77" s="758"/>
      <c r="W77" s="758" t="s">
        <v>2218</v>
      </c>
      <c r="X77" s="758"/>
      <c r="Y77" s="909"/>
      <c r="Z77" s="761"/>
      <c r="AA77" s="764"/>
      <c r="AB77" s="761"/>
      <c r="AC77" s="761"/>
      <c r="AD77" s="761"/>
    </row>
    <row r="78" spans="1:30" ht="72" customHeight="1">
      <c r="A78" s="760"/>
      <c r="B78" s="813">
        <v>61</v>
      </c>
      <c r="C78" s="758" t="s">
        <v>2194</v>
      </c>
      <c r="D78" s="877"/>
      <c r="E78" s="758"/>
      <c r="F78" s="758"/>
      <c r="G78" s="758"/>
      <c r="H78" s="805"/>
      <c r="I78" s="913">
        <f t="shared" si="7"/>
        <v>0</v>
      </c>
      <c r="J78" s="913">
        <f t="shared" si="8"/>
        <v>0</v>
      </c>
      <c r="K78" s="913">
        <f t="shared" si="9"/>
        <v>0</v>
      </c>
      <c r="L78" s="759" t="str">
        <f t="shared" si="10"/>
        <v/>
      </c>
      <c r="M78" s="759" t="str">
        <f t="shared" si="11"/>
        <v/>
      </c>
      <c r="N78" s="759" t="str">
        <f t="shared" si="12"/>
        <v/>
      </c>
      <c r="O78" s="867" t="s">
        <v>91</v>
      </c>
      <c r="P78" s="867"/>
      <c r="Q78" s="867"/>
      <c r="R78" s="867"/>
      <c r="S78" s="867"/>
      <c r="T78" s="758" t="s">
        <v>2219</v>
      </c>
      <c r="U78" s="758"/>
      <c r="V78" s="758"/>
      <c r="W78" s="758"/>
      <c r="X78" s="758"/>
      <c r="Y78" s="909"/>
      <c r="Z78" s="761" t="s">
        <v>2220</v>
      </c>
      <c r="AA78" s="764"/>
      <c r="AB78" s="761"/>
      <c r="AC78" s="761"/>
      <c r="AD78" s="761"/>
    </row>
    <row r="79" spans="1:30" ht="36" customHeight="1">
      <c r="A79" s="760"/>
      <c r="B79" s="813">
        <v>62</v>
      </c>
      <c r="C79" s="758" t="s">
        <v>2196</v>
      </c>
      <c r="D79" s="877"/>
      <c r="E79" s="758"/>
      <c r="F79" s="758"/>
      <c r="G79" s="758"/>
      <c r="H79" s="805"/>
      <c r="I79" s="913">
        <f t="shared" si="7"/>
        <v>0</v>
      </c>
      <c r="J79" s="913">
        <f t="shared" si="8"/>
        <v>0</v>
      </c>
      <c r="K79" s="913">
        <f t="shared" si="9"/>
        <v>0</v>
      </c>
      <c r="L79" s="759" t="str">
        <f t="shared" si="10"/>
        <v/>
      </c>
      <c r="M79" s="759" t="str">
        <f t="shared" si="11"/>
        <v/>
      </c>
      <c r="N79" s="759" t="str">
        <f t="shared" si="12"/>
        <v/>
      </c>
      <c r="O79" s="867" t="s">
        <v>138</v>
      </c>
      <c r="P79" s="867"/>
      <c r="Q79" s="867"/>
      <c r="R79" s="867"/>
      <c r="S79" s="867"/>
      <c r="T79" s="758" t="s">
        <v>2221</v>
      </c>
      <c r="U79" s="758"/>
      <c r="V79" s="758"/>
      <c r="W79" s="758"/>
      <c r="X79" s="758"/>
      <c r="Y79" s="909"/>
      <c r="Z79" s="761" t="s">
        <v>2222</v>
      </c>
      <c r="AA79" s="764"/>
      <c r="AB79" s="761"/>
      <c r="AC79" s="761"/>
      <c r="AD79" s="761"/>
    </row>
    <row r="80" spans="1:30" ht="45" customHeight="1">
      <c r="A80" s="760"/>
      <c r="B80" s="813">
        <v>63</v>
      </c>
      <c r="C80" s="758" t="s">
        <v>2198</v>
      </c>
      <c r="D80" s="877"/>
      <c r="E80" s="758"/>
      <c r="F80" s="758"/>
      <c r="G80" s="758"/>
      <c r="H80" s="805"/>
      <c r="I80" s="913">
        <f t="shared" si="7"/>
        <v>0</v>
      </c>
      <c r="J80" s="913">
        <f t="shared" si="8"/>
        <v>0</v>
      </c>
      <c r="K80" s="913">
        <f t="shared" si="9"/>
        <v>0</v>
      </c>
      <c r="L80" s="759" t="str">
        <f t="shared" si="10"/>
        <v/>
      </c>
      <c r="M80" s="759" t="str">
        <f t="shared" si="11"/>
        <v/>
      </c>
      <c r="N80" s="759" t="str">
        <f t="shared" si="12"/>
        <v/>
      </c>
      <c r="O80" s="867" t="s">
        <v>151</v>
      </c>
      <c r="P80" s="867"/>
      <c r="Q80" s="867"/>
      <c r="R80" s="867"/>
      <c r="S80" s="867"/>
      <c r="T80" s="758" t="s">
        <v>2223</v>
      </c>
      <c r="U80" s="758"/>
      <c r="V80" s="758"/>
      <c r="W80" s="758"/>
      <c r="X80" s="758"/>
      <c r="Y80" s="909"/>
      <c r="Z80" s="761" t="s">
        <v>2224</v>
      </c>
      <c r="AA80" s="764"/>
      <c r="AB80" s="761"/>
      <c r="AC80" s="761"/>
      <c r="AD80" s="761"/>
    </row>
    <row r="81" spans="1:30" ht="36" customHeight="1">
      <c r="A81" s="760"/>
      <c r="B81" s="813">
        <v>64</v>
      </c>
      <c r="C81" s="758" t="s">
        <v>2200</v>
      </c>
      <c r="D81" s="877"/>
      <c r="E81" s="758"/>
      <c r="F81" s="758"/>
      <c r="G81" s="758"/>
      <c r="H81" s="805"/>
      <c r="I81" s="913">
        <f t="shared" si="7"/>
        <v>0</v>
      </c>
      <c r="J81" s="913">
        <f t="shared" si="8"/>
        <v>0</v>
      </c>
      <c r="K81" s="913">
        <f t="shared" si="9"/>
        <v>0</v>
      </c>
      <c r="L81" s="759" t="str">
        <f t="shared" si="10"/>
        <v/>
      </c>
      <c r="M81" s="759" t="str">
        <f t="shared" si="11"/>
        <v/>
      </c>
      <c r="N81" s="759" t="str">
        <f t="shared" si="12"/>
        <v/>
      </c>
      <c r="O81" s="867" t="s">
        <v>2103</v>
      </c>
      <c r="P81" s="867"/>
      <c r="Q81" s="867"/>
      <c r="R81" s="867"/>
      <c r="S81" s="867"/>
      <c r="T81" s="758" t="s">
        <v>2225</v>
      </c>
      <c r="U81" s="758"/>
      <c r="V81" s="758"/>
      <c r="W81" s="758"/>
      <c r="X81" s="758"/>
      <c r="Y81" s="909"/>
      <c r="Z81" s="761" t="s">
        <v>2226</v>
      </c>
      <c r="AA81" s="764"/>
      <c r="AB81" s="761"/>
      <c r="AC81" s="761"/>
      <c r="AD81" s="761"/>
    </row>
    <row r="82" spans="1:30" ht="90" customHeight="1">
      <c r="A82" s="760"/>
      <c r="B82" s="813">
        <v>65</v>
      </c>
      <c r="C82" s="758" t="s">
        <v>2209</v>
      </c>
      <c r="D82" s="877"/>
      <c r="E82" s="758"/>
      <c r="F82" s="758"/>
      <c r="G82" s="758"/>
      <c r="H82" s="805"/>
      <c r="I82" s="913">
        <f t="shared" ref="I82:I101" si="13">INDEX(TEMPLATE_NUMBER_POINT_FHD,B82,MATCH(TEMPLATE_SPHERE,TEMPLATE_SPHERE_LIST_FOR_NOTE,0))</f>
        <v>0</v>
      </c>
      <c r="J82" s="913">
        <f t="shared" ref="J82:J101" si="14">INDEX(TEMPLATE_DATA_POINT_FHD,B82,MATCH(TEMPLATE_SPHERE,TEMPLATE_SPHERE_LIST_FOR_NOTE,0))</f>
        <v>0</v>
      </c>
      <c r="K82" s="913">
        <f t="shared" ref="K82:K101" si="15">INDEX(TEMPLATE_NOTE_POINT_FHD,B82,MATCH(TEMPLATE_SPHERE,TEMPLATE_SPHERE_LIST_FOR_NOTE,0))</f>
        <v>0</v>
      </c>
      <c r="L82" s="759" t="str">
        <f t="shared" ref="L82:L101" si="16">IF(I82=0,"",I82)</f>
        <v/>
      </c>
      <c r="M82" s="759" t="str">
        <f t="shared" ref="M82:M101" si="17">IF(J82=0,"",J82)</f>
        <v/>
      </c>
      <c r="N82" s="759" t="str">
        <f t="shared" ref="N82:N101" si="18">IF(K82=0,"",K82)</f>
        <v/>
      </c>
      <c r="O82" s="867" t="s">
        <v>157</v>
      </c>
      <c r="P82" s="867"/>
      <c r="Q82" s="867"/>
      <c r="R82" s="867"/>
      <c r="S82" s="867"/>
      <c r="T82" s="758" t="s">
        <v>2227</v>
      </c>
      <c r="U82" s="758"/>
      <c r="V82" s="758"/>
      <c r="W82" s="758"/>
      <c r="X82" s="758"/>
      <c r="Y82" s="909"/>
      <c r="Z82" s="761" t="s">
        <v>2228</v>
      </c>
      <c r="AA82" s="764"/>
      <c r="AB82" s="761"/>
      <c r="AC82" s="761"/>
      <c r="AD82" s="761"/>
    </row>
    <row r="83" spans="1:30" ht="9" customHeight="1">
      <c r="A83" s="760"/>
      <c r="B83" s="813">
        <v>66</v>
      </c>
      <c r="C83" s="758"/>
      <c r="D83" s="877"/>
      <c r="E83" s="758"/>
      <c r="F83" s="758"/>
      <c r="G83" s="758"/>
      <c r="H83" s="805"/>
      <c r="I83" s="913">
        <f t="shared" si="13"/>
        <v>0</v>
      </c>
      <c r="J83" s="913">
        <f t="shared" si="14"/>
        <v>0</v>
      </c>
      <c r="K83" s="913">
        <f t="shared" si="15"/>
        <v>0</v>
      </c>
      <c r="L83" s="759" t="str">
        <f t="shared" si="16"/>
        <v/>
      </c>
      <c r="M83" s="759" t="str">
        <f t="shared" si="17"/>
        <v/>
      </c>
      <c r="N83" s="759" t="str">
        <f t="shared" si="18"/>
        <v/>
      </c>
      <c r="O83" s="867" t="s">
        <v>2112</v>
      </c>
      <c r="P83" s="867"/>
      <c r="Q83" s="867"/>
      <c r="R83" s="867"/>
      <c r="S83" s="867"/>
      <c r="T83" s="758" t="s">
        <v>2229</v>
      </c>
      <c r="U83" s="758"/>
      <c r="V83" s="758"/>
      <c r="W83" s="758"/>
      <c r="X83" s="758"/>
      <c r="Y83" s="909"/>
      <c r="Z83" s="761"/>
      <c r="AA83" s="764"/>
      <c r="AB83" s="761"/>
      <c r="AC83" s="761"/>
      <c r="AD83" s="761"/>
    </row>
    <row r="84" spans="1:30" ht="54" customHeight="1">
      <c r="A84" s="760"/>
      <c r="B84" s="813">
        <v>67</v>
      </c>
      <c r="C84" s="758"/>
      <c r="D84" s="877"/>
      <c r="E84" s="758"/>
      <c r="F84" s="758"/>
      <c r="G84" s="758"/>
      <c r="H84" s="805"/>
      <c r="I84" s="913">
        <f t="shared" si="13"/>
        <v>0</v>
      </c>
      <c r="J84" s="913">
        <f t="shared" si="14"/>
        <v>0</v>
      </c>
      <c r="K84" s="913">
        <f t="shared" si="15"/>
        <v>0</v>
      </c>
      <c r="L84" s="759" t="str">
        <f t="shared" si="16"/>
        <v/>
      </c>
      <c r="M84" s="759" t="str">
        <f t="shared" si="17"/>
        <v/>
      </c>
      <c r="N84" s="759" t="str">
        <f t="shared" si="18"/>
        <v/>
      </c>
      <c r="O84" s="867" t="s">
        <v>2230</v>
      </c>
      <c r="P84" s="867"/>
      <c r="Q84" s="867"/>
      <c r="R84" s="867"/>
      <c r="S84" s="867"/>
      <c r="T84" s="758" t="s">
        <v>2231</v>
      </c>
      <c r="U84" s="758"/>
      <c r="V84" s="758"/>
      <c r="W84" s="758"/>
      <c r="X84" s="758"/>
      <c r="Y84" s="909"/>
      <c r="Z84" s="761"/>
      <c r="AA84" s="764"/>
      <c r="AB84" s="761"/>
      <c r="AC84" s="761"/>
      <c r="AD84" s="761"/>
    </row>
    <row r="85" spans="1:30" ht="9" customHeight="1">
      <c r="A85" s="760"/>
      <c r="B85" s="813">
        <v>68</v>
      </c>
      <c r="C85" s="758"/>
      <c r="D85" s="877"/>
      <c r="E85" s="758"/>
      <c r="F85" s="758"/>
      <c r="G85" s="758"/>
      <c r="H85" s="805"/>
      <c r="I85" s="913">
        <f t="shared" si="13"/>
        <v>0</v>
      </c>
      <c r="J85" s="913">
        <f t="shared" si="14"/>
        <v>0</v>
      </c>
      <c r="K85" s="913">
        <f t="shared" si="15"/>
        <v>0</v>
      </c>
      <c r="L85" s="759" t="str">
        <f t="shared" si="16"/>
        <v/>
      </c>
      <c r="M85" s="759" t="str">
        <f t="shared" si="17"/>
        <v/>
      </c>
      <c r="N85" s="759" t="str">
        <f t="shared" si="18"/>
        <v/>
      </c>
      <c r="O85" s="867" t="s">
        <v>2116</v>
      </c>
      <c r="P85" s="867"/>
      <c r="Q85" s="867"/>
      <c r="R85" s="867"/>
      <c r="S85" s="867"/>
      <c r="T85" s="758" t="s">
        <v>2232</v>
      </c>
      <c r="U85" s="758"/>
      <c r="V85" s="758"/>
      <c r="W85" s="758"/>
      <c r="X85" s="758"/>
      <c r="Y85" s="909"/>
      <c r="Z85" s="761"/>
      <c r="AA85" s="764"/>
      <c r="AB85" s="761"/>
      <c r="AC85" s="761"/>
      <c r="AD85" s="761"/>
    </row>
    <row r="86" spans="1:30" ht="27" customHeight="1">
      <c r="A86" s="760"/>
      <c r="B86" s="813">
        <v>69</v>
      </c>
      <c r="C86" s="758"/>
      <c r="D86" s="877"/>
      <c r="E86" s="758"/>
      <c r="F86" s="758"/>
      <c r="G86" s="758"/>
      <c r="H86" s="805"/>
      <c r="I86" s="913">
        <f t="shared" si="13"/>
        <v>0</v>
      </c>
      <c r="J86" s="913">
        <f t="shared" si="14"/>
        <v>0</v>
      </c>
      <c r="K86" s="913">
        <f t="shared" si="15"/>
        <v>0</v>
      </c>
      <c r="L86" s="759" t="str">
        <f t="shared" si="16"/>
        <v/>
      </c>
      <c r="M86" s="759" t="str">
        <f t="shared" si="17"/>
        <v/>
      </c>
      <c r="N86" s="759" t="str">
        <f t="shared" si="18"/>
        <v/>
      </c>
      <c r="O86" s="867" t="s">
        <v>2233</v>
      </c>
      <c r="P86" s="867"/>
      <c r="Q86" s="867"/>
      <c r="R86" s="867"/>
      <c r="S86" s="867"/>
      <c r="T86" s="758" t="s">
        <v>2234</v>
      </c>
      <c r="U86" s="758"/>
      <c r="V86" s="758"/>
      <c r="W86" s="758"/>
      <c r="X86" s="758"/>
      <c r="Y86" s="909"/>
      <c r="Z86" s="761"/>
      <c r="AA86" s="764"/>
      <c r="AB86" s="761"/>
      <c r="AC86" s="761"/>
      <c r="AD86" s="761"/>
    </row>
    <row r="87" spans="1:30" ht="36" customHeight="1">
      <c r="A87" s="760"/>
      <c r="B87" s="813">
        <v>70</v>
      </c>
      <c r="C87" s="758" t="s">
        <v>2235</v>
      </c>
      <c r="D87" s="877"/>
      <c r="E87" s="758"/>
      <c r="F87" s="758"/>
      <c r="G87" s="758"/>
      <c r="H87" s="805"/>
      <c r="I87" s="913">
        <f t="shared" si="13"/>
        <v>0</v>
      </c>
      <c r="J87" s="913">
        <f t="shared" si="14"/>
        <v>0</v>
      </c>
      <c r="K87" s="913">
        <f t="shared" si="15"/>
        <v>0</v>
      </c>
      <c r="L87" s="759" t="str">
        <f t="shared" si="16"/>
        <v/>
      </c>
      <c r="M87" s="759" t="str">
        <f t="shared" si="17"/>
        <v/>
      </c>
      <c r="N87" s="759" t="str">
        <f t="shared" si="18"/>
        <v/>
      </c>
      <c r="O87" s="867" t="s">
        <v>162</v>
      </c>
      <c r="P87" s="867"/>
      <c r="Q87" s="867"/>
      <c r="R87" s="867"/>
      <c r="S87" s="867"/>
      <c r="T87" s="758" t="s">
        <v>2236</v>
      </c>
      <c r="U87" s="758"/>
      <c r="V87" s="758"/>
      <c r="W87" s="758"/>
      <c r="X87" s="758"/>
      <c r="Y87" s="909"/>
      <c r="Z87" s="761"/>
      <c r="AA87" s="764"/>
      <c r="AB87" s="761"/>
      <c r="AC87" s="761"/>
      <c r="AD87" s="761"/>
    </row>
    <row r="88" spans="1:30" ht="18" customHeight="1">
      <c r="A88" s="760"/>
      <c r="B88" s="813">
        <v>71</v>
      </c>
      <c r="C88" s="758" t="s">
        <v>2237</v>
      </c>
      <c r="D88" s="877"/>
      <c r="E88" s="758"/>
      <c r="F88" s="758"/>
      <c r="G88" s="758"/>
      <c r="H88" s="805"/>
      <c r="I88" s="913">
        <f t="shared" si="13"/>
        <v>0</v>
      </c>
      <c r="J88" s="913">
        <f t="shared" si="14"/>
        <v>0</v>
      </c>
      <c r="K88" s="913">
        <f t="shared" si="15"/>
        <v>0</v>
      </c>
      <c r="L88" s="759" t="str">
        <f t="shared" si="16"/>
        <v/>
      </c>
      <c r="M88" s="759" t="str">
        <f t="shared" si="17"/>
        <v/>
      </c>
      <c r="N88" s="759" t="str">
        <f t="shared" si="18"/>
        <v/>
      </c>
      <c r="O88" s="867" t="s">
        <v>210</v>
      </c>
      <c r="P88" s="867"/>
      <c r="Q88" s="867"/>
      <c r="R88" s="867"/>
      <c r="S88" s="867"/>
      <c r="T88" s="758" t="s">
        <v>2238</v>
      </c>
      <c r="U88" s="758"/>
      <c r="V88" s="758"/>
      <c r="W88" s="758"/>
      <c r="X88" s="758"/>
      <c r="Y88" s="909"/>
      <c r="Z88" s="761"/>
      <c r="AA88" s="764"/>
      <c r="AB88" s="761"/>
      <c r="AC88" s="761"/>
      <c r="AD88" s="761"/>
    </row>
    <row r="89" spans="1:30" ht="18" customHeight="1">
      <c r="A89" s="760"/>
      <c r="B89" s="813">
        <v>72</v>
      </c>
      <c r="C89" s="758" t="s">
        <v>2239</v>
      </c>
      <c r="D89" s="877" t="s">
        <v>2235</v>
      </c>
      <c r="E89" s="758" t="s">
        <v>2235</v>
      </c>
      <c r="F89" s="758" t="s">
        <v>2200</v>
      </c>
      <c r="G89" s="758"/>
      <c r="H89" s="805"/>
      <c r="I89" s="913" t="str">
        <f t="shared" si="13"/>
        <v>10</v>
      </c>
      <c r="J89" s="913" t="str">
        <f t="shared" si="14"/>
        <v>Среднесписочная численность основного производственного персонала</v>
      </c>
      <c r="K89" s="913">
        <f t="shared" si="15"/>
        <v>0</v>
      </c>
      <c r="L89" s="759" t="str">
        <f t="shared" si="16"/>
        <v>10</v>
      </c>
      <c r="M89" s="759" t="str">
        <f t="shared" si="17"/>
        <v>Среднесписочная численность основного производственного персонала</v>
      </c>
      <c r="N89" s="759" t="str">
        <f t="shared" si="18"/>
        <v/>
      </c>
      <c r="O89" s="867" t="s">
        <v>211</v>
      </c>
      <c r="P89" s="867" t="s">
        <v>210</v>
      </c>
      <c r="Q89" s="867" t="s">
        <v>210</v>
      </c>
      <c r="R89" s="867" t="s">
        <v>157</v>
      </c>
      <c r="S89" s="867"/>
      <c r="T89" s="758" t="s">
        <v>2240</v>
      </c>
      <c r="U89" s="758" t="s">
        <v>2240</v>
      </c>
      <c r="V89" s="758" t="s">
        <v>2240</v>
      </c>
      <c r="W89" s="758" t="s">
        <v>2240</v>
      </c>
      <c r="X89" s="758"/>
      <c r="Y89" s="909"/>
      <c r="Z89" s="761"/>
      <c r="AA89" s="764"/>
      <c r="AB89" s="761"/>
      <c r="AC89" s="761"/>
      <c r="AD89" s="761"/>
    </row>
    <row r="90" spans="1:30" ht="27" customHeight="1">
      <c r="A90" s="760"/>
      <c r="B90" s="813">
        <v>73</v>
      </c>
      <c r="C90" s="758" t="s">
        <v>2241</v>
      </c>
      <c r="D90" s="877"/>
      <c r="E90" s="758"/>
      <c r="F90" s="758"/>
      <c r="G90" s="758"/>
      <c r="H90" s="805"/>
      <c r="I90" s="913">
        <f t="shared" si="13"/>
        <v>0</v>
      </c>
      <c r="J90" s="913">
        <f t="shared" si="14"/>
        <v>0</v>
      </c>
      <c r="K90" s="913">
        <f t="shared" si="15"/>
        <v>0</v>
      </c>
      <c r="L90" s="759" t="str">
        <f t="shared" si="16"/>
        <v/>
      </c>
      <c r="M90" s="759" t="str">
        <f t="shared" si="17"/>
        <v/>
      </c>
      <c r="N90" s="759" t="str">
        <f t="shared" si="18"/>
        <v/>
      </c>
      <c r="O90" s="867" t="s">
        <v>212</v>
      </c>
      <c r="P90" s="867"/>
      <c r="Q90" s="867"/>
      <c r="R90" s="867"/>
      <c r="S90" s="867"/>
      <c r="T90" s="758" t="s">
        <v>2242</v>
      </c>
      <c r="U90" s="758"/>
      <c r="V90" s="758"/>
      <c r="W90" s="758"/>
      <c r="X90" s="758"/>
      <c r="Y90" s="909"/>
      <c r="Z90" s="761"/>
      <c r="AA90" s="764"/>
      <c r="AB90" s="761"/>
      <c r="AC90" s="761"/>
      <c r="AD90" s="761"/>
    </row>
    <row r="91" spans="1:30" ht="18" customHeight="1">
      <c r="A91" s="760"/>
      <c r="B91" s="813">
        <v>74</v>
      </c>
      <c r="C91" s="758"/>
      <c r="D91" s="877" t="s">
        <v>2237</v>
      </c>
      <c r="E91" s="758" t="s">
        <v>2237</v>
      </c>
      <c r="F91" s="758"/>
      <c r="G91" s="758"/>
      <c r="H91" s="805"/>
      <c r="I91" s="913">
        <f t="shared" si="13"/>
        <v>0</v>
      </c>
      <c r="J91" s="913">
        <f t="shared" si="14"/>
        <v>0</v>
      </c>
      <c r="K91" s="913">
        <f t="shared" si="15"/>
        <v>0</v>
      </c>
      <c r="L91" s="759" t="str">
        <f t="shared" si="16"/>
        <v/>
      </c>
      <c r="M91" s="759" t="str">
        <f t="shared" si="17"/>
        <v/>
      </c>
      <c r="N91" s="759" t="str">
        <f t="shared" si="18"/>
        <v/>
      </c>
      <c r="O91" s="867"/>
      <c r="P91" s="867" t="s">
        <v>211</v>
      </c>
      <c r="Q91" s="867" t="s">
        <v>211</v>
      </c>
      <c r="R91" s="867"/>
      <c r="S91" s="867"/>
      <c r="T91" s="758"/>
      <c r="U91" s="758" t="s">
        <v>2243</v>
      </c>
      <c r="V91" s="758" t="s">
        <v>2243</v>
      </c>
      <c r="W91" s="758"/>
      <c r="X91" s="758"/>
      <c r="Y91" s="909"/>
      <c r="Z91" s="761"/>
      <c r="AA91" s="764"/>
      <c r="AB91" s="761"/>
      <c r="AC91" s="761"/>
      <c r="AD91" s="761"/>
    </row>
    <row r="92" spans="1:30" ht="27" customHeight="1">
      <c r="A92" s="760"/>
      <c r="B92" s="813">
        <v>75</v>
      </c>
      <c r="C92" s="758"/>
      <c r="D92" s="877" t="s">
        <v>2239</v>
      </c>
      <c r="E92" s="758"/>
      <c r="F92" s="758"/>
      <c r="G92" s="758"/>
      <c r="H92" s="805"/>
      <c r="I92" s="913">
        <f t="shared" si="13"/>
        <v>0</v>
      </c>
      <c r="J92" s="913">
        <f t="shared" si="14"/>
        <v>0</v>
      </c>
      <c r="K92" s="913">
        <f t="shared" si="15"/>
        <v>0</v>
      </c>
      <c r="L92" s="759" t="str">
        <f t="shared" si="16"/>
        <v/>
      </c>
      <c r="M92" s="759" t="str">
        <f t="shared" si="17"/>
        <v/>
      </c>
      <c r="N92" s="759" t="str">
        <f t="shared" si="18"/>
        <v/>
      </c>
      <c r="O92" s="867"/>
      <c r="P92" s="867" t="s">
        <v>212</v>
      </c>
      <c r="Q92" s="867"/>
      <c r="R92" s="867"/>
      <c r="S92" s="867"/>
      <c r="T92" s="758"/>
      <c r="U92" s="758" t="s">
        <v>2244</v>
      </c>
      <c r="V92" s="758"/>
      <c r="W92" s="758"/>
      <c r="X92" s="758"/>
      <c r="Y92" s="909"/>
      <c r="Z92" s="761"/>
      <c r="AA92" s="764" t="s">
        <v>2245</v>
      </c>
      <c r="AB92" s="761"/>
      <c r="AC92" s="761"/>
      <c r="AD92" s="761"/>
    </row>
    <row r="93" spans="1:30" ht="27" customHeight="1">
      <c r="A93" s="760"/>
      <c r="B93" s="813">
        <v>76</v>
      </c>
      <c r="C93" s="758"/>
      <c r="D93" s="877"/>
      <c r="E93" s="758"/>
      <c r="F93" s="758"/>
      <c r="G93" s="758"/>
      <c r="H93" s="805"/>
      <c r="I93" s="913">
        <f t="shared" si="13"/>
        <v>0</v>
      </c>
      <c r="J93" s="913">
        <f t="shared" si="14"/>
        <v>0</v>
      </c>
      <c r="K93" s="913">
        <f t="shared" si="15"/>
        <v>0</v>
      </c>
      <c r="L93" s="759" t="str">
        <f t="shared" si="16"/>
        <v/>
      </c>
      <c r="M93" s="759" t="str">
        <f t="shared" si="17"/>
        <v/>
      </c>
      <c r="N93" s="759" t="str">
        <f t="shared" si="18"/>
        <v/>
      </c>
      <c r="O93" s="867"/>
      <c r="P93" s="867" t="s">
        <v>2144</v>
      </c>
      <c r="Q93" s="867"/>
      <c r="R93" s="867"/>
      <c r="S93" s="867"/>
      <c r="T93" s="758"/>
      <c r="U93" s="758" t="s">
        <v>2246</v>
      </c>
      <c r="V93" s="758"/>
      <c r="W93" s="758"/>
      <c r="X93" s="758"/>
      <c r="Y93" s="909"/>
      <c r="Z93" s="761"/>
      <c r="AA93" s="764" t="s">
        <v>2247</v>
      </c>
      <c r="AB93" s="761"/>
      <c r="AC93" s="761"/>
      <c r="AD93" s="761"/>
    </row>
    <row r="94" spans="1:30" ht="45" customHeight="1">
      <c r="A94" s="760"/>
      <c r="B94" s="813">
        <v>77</v>
      </c>
      <c r="C94" s="758"/>
      <c r="D94" s="877" t="s">
        <v>2241</v>
      </c>
      <c r="E94" s="758"/>
      <c r="F94" s="758"/>
      <c r="G94" s="758"/>
      <c r="H94" s="805"/>
      <c r="I94" s="913">
        <f t="shared" si="13"/>
        <v>0</v>
      </c>
      <c r="J94" s="913">
        <f t="shared" si="14"/>
        <v>0</v>
      </c>
      <c r="K94" s="913">
        <f t="shared" si="15"/>
        <v>0</v>
      </c>
      <c r="L94" s="759" t="str">
        <f t="shared" si="16"/>
        <v/>
      </c>
      <c r="M94" s="759" t="str">
        <f t="shared" si="17"/>
        <v/>
      </c>
      <c r="N94" s="759" t="str">
        <f t="shared" si="18"/>
        <v/>
      </c>
      <c r="O94" s="867"/>
      <c r="P94" s="867" t="s">
        <v>383</v>
      </c>
      <c r="Q94" s="867"/>
      <c r="R94" s="867"/>
      <c r="S94" s="867"/>
      <c r="T94" s="758"/>
      <c r="U94" s="758" t="s">
        <v>2248</v>
      </c>
      <c r="V94" s="758"/>
      <c r="W94" s="758"/>
      <c r="X94" s="758"/>
      <c r="Y94" s="909"/>
      <c r="Z94" s="761"/>
      <c r="AA94" s="764" t="s">
        <v>2249</v>
      </c>
      <c r="AB94" s="761"/>
      <c r="AC94" s="761"/>
      <c r="AD94" s="761"/>
    </row>
    <row r="95" spans="1:30" ht="99" customHeight="1">
      <c r="A95" s="760"/>
      <c r="B95" s="813">
        <v>78</v>
      </c>
      <c r="C95" s="758" t="s">
        <v>2250</v>
      </c>
      <c r="D95" s="877"/>
      <c r="E95" s="758"/>
      <c r="F95" s="758"/>
      <c r="G95" s="758"/>
      <c r="H95" s="805"/>
      <c r="I95" s="913">
        <f t="shared" si="13"/>
        <v>0</v>
      </c>
      <c r="J95" s="913">
        <f t="shared" si="14"/>
        <v>0</v>
      </c>
      <c r="K95" s="913">
        <f t="shared" si="15"/>
        <v>0</v>
      </c>
      <c r="L95" s="759" t="str">
        <f t="shared" si="16"/>
        <v/>
      </c>
      <c r="M95" s="759" t="str">
        <f t="shared" si="17"/>
        <v/>
      </c>
      <c r="N95" s="759" t="str">
        <f t="shared" si="18"/>
        <v/>
      </c>
      <c r="O95" s="867" t="s">
        <v>383</v>
      </c>
      <c r="P95" s="867"/>
      <c r="Q95" s="867"/>
      <c r="R95" s="867"/>
      <c r="S95" s="867"/>
      <c r="T95" s="758" t="s">
        <v>2251</v>
      </c>
      <c r="U95" s="758"/>
      <c r="V95" s="758"/>
      <c r="W95" s="758"/>
      <c r="X95" s="758"/>
      <c r="Y95" s="909"/>
      <c r="Z95" s="761"/>
      <c r="AA95" s="764"/>
      <c r="AB95" s="761"/>
      <c r="AC95" s="761"/>
      <c r="AD95" s="761"/>
    </row>
    <row r="96" spans="1:30" ht="99" customHeight="1">
      <c r="A96" s="760"/>
      <c r="B96" s="813">
        <v>79</v>
      </c>
      <c r="C96" s="758" t="s">
        <v>1198</v>
      </c>
      <c r="D96" s="877"/>
      <c r="E96" s="758"/>
      <c r="F96" s="758"/>
      <c r="G96" s="758"/>
      <c r="H96" s="805"/>
      <c r="I96" s="913">
        <f t="shared" si="13"/>
        <v>0</v>
      </c>
      <c r="J96" s="913">
        <f t="shared" si="14"/>
        <v>0</v>
      </c>
      <c r="K96" s="913">
        <f t="shared" si="15"/>
        <v>0</v>
      </c>
      <c r="L96" s="759" t="str">
        <f t="shared" si="16"/>
        <v/>
      </c>
      <c r="M96" s="759" t="str">
        <f t="shared" si="17"/>
        <v/>
      </c>
      <c r="N96" s="759" t="str">
        <f t="shared" si="18"/>
        <v/>
      </c>
      <c r="O96" s="867" t="s">
        <v>389</v>
      </c>
      <c r="P96" s="867"/>
      <c r="Q96" s="867"/>
      <c r="R96" s="867"/>
      <c r="S96" s="867"/>
      <c r="T96" s="758" t="s">
        <v>2252</v>
      </c>
      <c r="U96" s="758"/>
      <c r="V96" s="758"/>
      <c r="W96" s="758"/>
      <c r="X96" s="758"/>
      <c r="Y96" s="909"/>
      <c r="Z96" s="761" t="s">
        <v>2253</v>
      </c>
      <c r="AA96" s="764"/>
      <c r="AB96" s="761"/>
      <c r="AC96" s="761"/>
      <c r="AD96" s="761"/>
    </row>
    <row r="97" spans="1:30" ht="63" customHeight="1">
      <c r="A97" s="760"/>
      <c r="B97" s="813">
        <v>80</v>
      </c>
      <c r="C97" s="758" t="s">
        <v>2254</v>
      </c>
      <c r="D97" s="877"/>
      <c r="E97" s="758"/>
      <c r="F97" s="758"/>
      <c r="G97" s="758"/>
      <c r="H97" s="805"/>
      <c r="I97" s="913">
        <f t="shared" si="13"/>
        <v>0</v>
      </c>
      <c r="J97" s="913">
        <f t="shared" si="14"/>
        <v>0</v>
      </c>
      <c r="K97" s="913">
        <f t="shared" si="15"/>
        <v>0</v>
      </c>
      <c r="L97" s="759" t="str">
        <f t="shared" si="16"/>
        <v/>
      </c>
      <c r="M97" s="759" t="str">
        <f t="shared" si="17"/>
        <v/>
      </c>
      <c r="N97" s="759" t="str">
        <f t="shared" si="18"/>
        <v/>
      </c>
      <c r="O97" s="867" t="s">
        <v>395</v>
      </c>
      <c r="P97" s="867"/>
      <c r="Q97" s="867"/>
      <c r="R97" s="867"/>
      <c r="S97" s="867"/>
      <c r="T97" s="758" t="s">
        <v>2255</v>
      </c>
      <c r="U97" s="758"/>
      <c r="V97" s="758"/>
      <c r="W97" s="758"/>
      <c r="X97" s="758"/>
      <c r="Y97" s="909"/>
      <c r="Z97" s="761" t="s">
        <v>2256</v>
      </c>
      <c r="AA97" s="764"/>
      <c r="AB97" s="761"/>
      <c r="AC97" s="761"/>
      <c r="AD97" s="761"/>
    </row>
    <row r="98" spans="1:30" ht="63" customHeight="1">
      <c r="A98" s="760"/>
      <c r="B98" s="813">
        <v>81</v>
      </c>
      <c r="C98" s="758" t="s">
        <v>2257</v>
      </c>
      <c r="D98" s="877"/>
      <c r="E98" s="758"/>
      <c r="F98" s="758"/>
      <c r="G98" s="758"/>
      <c r="H98" s="805"/>
      <c r="I98" s="913">
        <f t="shared" si="13"/>
        <v>0</v>
      </c>
      <c r="J98" s="913">
        <f t="shared" si="14"/>
        <v>0</v>
      </c>
      <c r="K98" s="913">
        <f t="shared" si="15"/>
        <v>0</v>
      </c>
      <c r="L98" s="759" t="str">
        <f t="shared" si="16"/>
        <v/>
      </c>
      <c r="M98" s="759" t="str">
        <f t="shared" si="17"/>
        <v/>
      </c>
      <c r="N98" s="759" t="str">
        <f t="shared" si="18"/>
        <v/>
      </c>
      <c r="O98" s="867" t="s">
        <v>401</v>
      </c>
      <c r="P98" s="867"/>
      <c r="Q98" s="867"/>
      <c r="R98" s="867"/>
      <c r="S98" s="867"/>
      <c r="T98" s="758" t="s">
        <v>2258</v>
      </c>
      <c r="U98" s="758"/>
      <c r="V98" s="758"/>
      <c r="W98" s="758"/>
      <c r="X98" s="758"/>
      <c r="Y98" s="909"/>
      <c r="Z98" s="761" t="s">
        <v>2256</v>
      </c>
      <c r="AA98" s="764"/>
      <c r="AB98" s="761"/>
      <c r="AC98" s="761"/>
      <c r="AD98" s="761"/>
    </row>
    <row r="99" spans="1:30" ht="90" customHeight="1">
      <c r="A99" s="760"/>
      <c r="B99" s="813">
        <v>82</v>
      </c>
      <c r="C99" s="758" t="s">
        <v>2259</v>
      </c>
      <c r="D99" s="877"/>
      <c r="E99" s="758"/>
      <c r="F99" s="758"/>
      <c r="G99" s="758"/>
      <c r="H99" s="805"/>
      <c r="I99" s="913">
        <f t="shared" si="13"/>
        <v>0</v>
      </c>
      <c r="J99" s="913">
        <f t="shared" si="14"/>
        <v>0</v>
      </c>
      <c r="K99" s="913">
        <f t="shared" si="15"/>
        <v>0</v>
      </c>
      <c r="L99" s="759" t="str">
        <f t="shared" si="16"/>
        <v/>
      </c>
      <c r="M99" s="759" t="str">
        <f t="shared" si="17"/>
        <v/>
      </c>
      <c r="N99" s="759" t="str">
        <f t="shared" si="18"/>
        <v/>
      </c>
      <c r="O99" s="867" t="s">
        <v>1642</v>
      </c>
      <c r="P99" s="867"/>
      <c r="Q99" s="867"/>
      <c r="R99" s="867"/>
      <c r="S99" s="867"/>
      <c r="T99" s="758" t="s">
        <v>2260</v>
      </c>
      <c r="U99" s="758"/>
      <c r="V99" s="758"/>
      <c r="W99" s="758"/>
      <c r="X99" s="758"/>
      <c r="Y99" s="909"/>
      <c r="Z99" s="761" t="s">
        <v>938</v>
      </c>
      <c r="AA99" s="764"/>
      <c r="AB99" s="761"/>
      <c r="AC99" s="761"/>
      <c r="AD99" s="761"/>
    </row>
    <row r="100" spans="1:30" ht="27" customHeight="1">
      <c r="A100" s="760"/>
      <c r="B100" s="813">
        <v>83</v>
      </c>
      <c r="C100" s="758"/>
      <c r="D100" s="877"/>
      <c r="E100" s="758"/>
      <c r="F100" s="758"/>
      <c r="G100" s="758"/>
      <c r="H100" s="805"/>
      <c r="I100" s="913">
        <f t="shared" si="13"/>
        <v>0</v>
      </c>
      <c r="J100" s="913">
        <f t="shared" si="14"/>
        <v>0</v>
      </c>
      <c r="K100" s="913">
        <f t="shared" si="15"/>
        <v>0</v>
      </c>
      <c r="L100" s="759" t="str">
        <f t="shared" si="16"/>
        <v/>
      </c>
      <c r="M100" s="759" t="str">
        <f t="shared" si="17"/>
        <v/>
      </c>
      <c r="N100" s="759" t="str">
        <f t="shared" si="18"/>
        <v/>
      </c>
      <c r="O100" s="867" t="s">
        <v>2261</v>
      </c>
      <c r="P100" s="867"/>
      <c r="Q100" s="867"/>
      <c r="R100" s="867"/>
      <c r="S100" s="867"/>
      <c r="T100" s="758" t="s">
        <v>2262</v>
      </c>
      <c r="U100" s="758"/>
      <c r="V100" s="758"/>
      <c r="W100" s="758"/>
      <c r="X100" s="758"/>
      <c r="Y100" s="909"/>
      <c r="Z100" s="761" t="s">
        <v>938</v>
      </c>
      <c r="AA100" s="764"/>
      <c r="AB100" s="761"/>
      <c r="AC100" s="761"/>
      <c r="AD100" s="761"/>
    </row>
    <row r="101" spans="1:30" ht="27" customHeight="1">
      <c r="A101" s="760"/>
      <c r="B101" s="813">
        <v>84</v>
      </c>
      <c r="C101" s="758"/>
      <c r="D101" s="877"/>
      <c r="E101" s="758"/>
      <c r="F101" s="758"/>
      <c r="G101" s="758"/>
      <c r="H101" s="805"/>
      <c r="I101" s="913">
        <f t="shared" si="13"/>
        <v>0</v>
      </c>
      <c r="J101" s="913">
        <f t="shared" si="14"/>
        <v>0</v>
      </c>
      <c r="K101" s="913">
        <f t="shared" si="15"/>
        <v>0</v>
      </c>
      <c r="L101" s="759" t="str">
        <f t="shared" si="16"/>
        <v/>
      </c>
      <c r="M101" s="759" t="str">
        <f t="shared" si="17"/>
        <v/>
      </c>
      <c r="N101" s="759" t="str">
        <f t="shared" si="18"/>
        <v/>
      </c>
      <c r="O101" s="867" t="s">
        <v>2263</v>
      </c>
      <c r="P101" s="867"/>
      <c r="Q101" s="867"/>
      <c r="R101" s="867"/>
      <c r="S101" s="867"/>
      <c r="T101" s="758" t="s">
        <v>2264</v>
      </c>
      <c r="U101" s="758"/>
      <c r="V101" s="758"/>
      <c r="W101" s="758"/>
      <c r="X101" s="758"/>
      <c r="Y101" s="909"/>
      <c r="Z101" s="761" t="s">
        <v>938</v>
      </c>
      <c r="AA101" s="764"/>
      <c r="AB101" s="761"/>
      <c r="AC101" s="761"/>
      <c r="AD101" s="761"/>
    </row>
    <row r="102" spans="1:30" ht="9" customHeight="1">
      <c r="A102" s="760"/>
      <c r="B102" s="760"/>
      <c r="C102" s="758"/>
      <c r="D102" s="758"/>
      <c r="E102" s="758"/>
      <c r="F102" s="758"/>
      <c r="G102" s="758"/>
      <c r="H102" s="805"/>
      <c r="I102" s="805"/>
      <c r="J102" s="805"/>
      <c r="K102" s="805"/>
      <c r="L102" s="805"/>
      <c r="M102" s="758"/>
      <c r="N102" s="804"/>
      <c r="O102" s="867"/>
      <c r="P102" s="867"/>
      <c r="Q102" s="867"/>
      <c r="R102" s="867"/>
      <c r="S102" s="758"/>
      <c r="T102" s="758"/>
      <c r="U102" s="758"/>
      <c r="V102" s="758"/>
      <c r="W102" s="758"/>
      <c r="X102" s="758"/>
      <c r="Y102" s="909"/>
      <c r="Z102" s="761"/>
      <c r="AA102" s="764"/>
      <c r="AB102" s="761"/>
      <c r="AC102" s="761"/>
      <c r="AD102" s="761"/>
    </row>
    <row r="103" spans="1:30" ht="9" customHeight="1">
      <c r="A103" s="760"/>
      <c r="B103" s="760"/>
      <c r="C103" s="758"/>
      <c r="D103" s="758"/>
      <c r="E103" s="758"/>
      <c r="F103" s="758"/>
      <c r="G103" s="758"/>
      <c r="H103" s="805"/>
      <c r="I103" s="805"/>
      <c r="J103" s="805"/>
      <c r="K103" s="805"/>
      <c r="L103" s="805"/>
      <c r="M103" s="758"/>
      <c r="N103" s="804"/>
      <c r="O103" s="867"/>
      <c r="P103" s="867"/>
      <c r="Q103" s="867"/>
      <c r="R103" s="867"/>
      <c r="S103" s="758"/>
      <c r="T103" s="758"/>
      <c r="U103" s="758"/>
      <c r="V103" s="758"/>
      <c r="W103" s="758"/>
      <c r="X103" s="758"/>
      <c r="Y103" s="909"/>
      <c r="Z103" s="761"/>
      <c r="AA103" s="764"/>
      <c r="AB103" s="761"/>
      <c r="AC103" s="761"/>
      <c r="AD103" s="761"/>
    </row>
    <row r="104" spans="1:30" ht="9" customHeight="1">
      <c r="A104" s="760"/>
      <c r="B104" s="760"/>
      <c r="C104" s="758"/>
      <c r="D104" s="758"/>
      <c r="E104" s="758"/>
      <c r="F104" s="758"/>
      <c r="G104" s="758"/>
      <c r="H104" s="805"/>
      <c r="I104" s="805"/>
      <c r="J104" s="805"/>
      <c r="K104" s="805"/>
      <c r="L104" s="805"/>
      <c r="M104" s="758"/>
      <c r="N104" s="804"/>
      <c r="O104" s="867"/>
      <c r="P104" s="867"/>
      <c r="Q104" s="867"/>
      <c r="R104" s="867"/>
      <c r="S104" s="758"/>
      <c r="T104" s="758"/>
      <c r="U104" s="758"/>
      <c r="V104" s="758"/>
      <c r="W104" s="758"/>
      <c r="X104" s="758"/>
      <c r="Y104" s="909"/>
      <c r="Z104" s="761"/>
      <c r="AA104" s="764"/>
      <c r="AB104" s="761"/>
      <c r="AC104" s="761"/>
      <c r="AD104" s="761"/>
    </row>
    <row r="105" spans="1:30" ht="9" customHeight="1">
      <c r="A105" s="760"/>
      <c r="B105" s="760"/>
      <c r="C105" s="758"/>
      <c r="D105" s="758"/>
      <c r="E105" s="758"/>
      <c r="F105" s="758"/>
      <c r="G105" s="758"/>
      <c r="H105" s="805"/>
      <c r="I105" s="805"/>
      <c r="J105" s="805"/>
      <c r="K105" s="805"/>
      <c r="L105" s="805"/>
      <c r="M105" s="758"/>
      <c r="N105" s="804"/>
      <c r="O105" s="867"/>
      <c r="P105" s="867"/>
      <c r="Q105" s="867"/>
      <c r="R105" s="867"/>
      <c r="S105" s="758"/>
      <c r="T105" s="758"/>
      <c r="U105" s="758"/>
      <c r="V105" s="758"/>
      <c r="W105" s="758"/>
      <c r="X105" s="758"/>
      <c r="Y105" s="909"/>
      <c r="Z105" s="761"/>
      <c r="AA105" s="764"/>
      <c r="AB105" s="761"/>
      <c r="AC105" s="761"/>
      <c r="AD105" s="761"/>
    </row>
    <row r="106" spans="1:30" ht="9" customHeight="1">
      <c r="A106" s="760"/>
      <c r="B106" s="760"/>
      <c r="C106" s="758"/>
      <c r="D106" s="758"/>
      <c r="E106" s="758"/>
      <c r="F106" s="758"/>
      <c r="G106" s="758"/>
      <c r="H106" s="805"/>
      <c r="I106" s="805"/>
      <c r="J106" s="805"/>
      <c r="K106" s="805"/>
      <c r="L106" s="805"/>
      <c r="M106" s="758"/>
      <c r="N106" s="804"/>
      <c r="O106" s="867"/>
      <c r="P106" s="867"/>
      <c r="Q106" s="867"/>
      <c r="R106" s="867"/>
      <c r="S106" s="758"/>
      <c r="T106" s="758"/>
      <c r="U106" s="758"/>
      <c r="V106" s="758"/>
      <c r="W106" s="758"/>
      <c r="X106" s="758"/>
      <c r="Y106" s="909"/>
      <c r="Z106" s="761"/>
      <c r="AA106" s="764"/>
      <c r="AB106" s="761"/>
      <c r="AC106" s="761"/>
      <c r="AD106" s="761"/>
    </row>
    <row r="107" spans="1:30" ht="9" customHeight="1">
      <c r="A107" s="760"/>
      <c r="B107" s="760"/>
      <c r="C107" s="758"/>
      <c r="D107" s="758"/>
      <c r="E107" s="758"/>
      <c r="F107" s="758"/>
      <c r="G107" s="758"/>
      <c r="H107" s="805"/>
      <c r="I107" s="805"/>
      <c r="J107" s="805"/>
      <c r="K107" s="805"/>
      <c r="L107" s="805"/>
      <c r="M107" s="758"/>
      <c r="N107" s="804"/>
      <c r="O107" s="867"/>
      <c r="P107" s="867"/>
      <c r="Q107" s="867"/>
      <c r="R107" s="867"/>
      <c r="S107" s="758"/>
      <c r="T107" s="758"/>
      <c r="U107" s="758"/>
      <c r="V107" s="758"/>
      <c r="W107" s="758"/>
      <c r="X107" s="758"/>
      <c r="Y107" s="909"/>
      <c r="Z107" s="761"/>
      <c r="AA107" s="764"/>
      <c r="AB107" s="761"/>
      <c r="AC107" s="761"/>
      <c r="AD107" s="761"/>
    </row>
    <row r="108" spans="1:30" ht="9" customHeight="1">
      <c r="A108" s="760"/>
      <c r="B108" s="760"/>
      <c r="C108" s="758"/>
      <c r="D108" s="758"/>
      <c r="E108" s="758"/>
      <c r="F108" s="758"/>
      <c r="G108" s="758"/>
      <c r="H108" s="805"/>
      <c r="I108" s="805"/>
      <c r="J108" s="805"/>
      <c r="K108" s="805"/>
      <c r="L108" s="805"/>
      <c r="M108" s="758"/>
      <c r="N108" s="804"/>
      <c r="O108" s="867"/>
      <c r="P108" s="867"/>
      <c r="Q108" s="867"/>
      <c r="R108" s="867"/>
      <c r="S108" s="758"/>
      <c r="T108" s="758"/>
      <c r="U108" s="758"/>
      <c r="V108" s="758"/>
      <c r="W108" s="758"/>
      <c r="X108" s="758"/>
      <c r="Y108" s="909"/>
      <c r="Z108" s="761"/>
      <c r="AA108" s="764"/>
      <c r="AB108" s="761"/>
      <c r="AC108" s="761"/>
      <c r="AD108" s="761"/>
    </row>
    <row r="109" spans="1:30" ht="9" customHeight="1">
      <c r="A109" s="760"/>
      <c r="B109" s="760"/>
      <c r="C109" s="758"/>
      <c r="D109" s="758"/>
      <c r="E109" s="758"/>
      <c r="F109" s="758"/>
      <c r="G109" s="758"/>
      <c r="H109" s="805"/>
      <c r="I109" s="805"/>
      <c r="J109" s="805"/>
      <c r="K109" s="805"/>
      <c r="L109" s="805"/>
      <c r="M109" s="758"/>
      <c r="N109" s="804"/>
      <c r="O109" s="867"/>
      <c r="P109" s="867"/>
      <c r="Q109" s="867"/>
      <c r="R109" s="867"/>
      <c r="S109" s="758"/>
      <c r="T109" s="758"/>
      <c r="U109" s="758"/>
      <c r="V109" s="758"/>
      <c r="W109" s="758"/>
      <c r="X109" s="758"/>
      <c r="Y109" s="909"/>
      <c r="Z109" s="761"/>
      <c r="AA109" s="764"/>
      <c r="AB109" s="761"/>
      <c r="AC109" s="761"/>
      <c r="AD109" s="761"/>
    </row>
    <row r="110" spans="1:30" ht="9" customHeight="1">
      <c r="A110" s="760"/>
      <c r="B110" s="760"/>
      <c r="C110" s="758"/>
      <c r="D110" s="758"/>
      <c r="E110" s="758"/>
      <c r="F110" s="758"/>
      <c r="G110" s="758"/>
      <c r="H110" s="805"/>
      <c r="I110" s="805"/>
      <c r="J110" s="805"/>
      <c r="K110" s="805"/>
      <c r="L110" s="805"/>
      <c r="M110" s="758"/>
      <c r="N110" s="804"/>
      <c r="O110" s="867"/>
      <c r="P110" s="867"/>
      <c r="Q110" s="867"/>
      <c r="R110" s="867"/>
      <c r="S110" s="758"/>
      <c r="T110" s="758"/>
      <c r="U110" s="758"/>
      <c r="V110" s="758"/>
      <c r="W110" s="758"/>
      <c r="X110" s="758"/>
      <c r="Y110" s="909"/>
      <c r="Z110" s="761"/>
      <c r="AA110" s="764"/>
      <c r="AB110" s="761"/>
      <c r="AC110" s="761"/>
      <c r="AD110" s="761"/>
    </row>
    <row r="111" spans="1:30" ht="9" customHeight="1">
      <c r="A111" s="760"/>
      <c r="B111" s="760"/>
      <c r="C111" s="758"/>
      <c r="D111" s="758"/>
      <c r="E111" s="758"/>
      <c r="F111" s="758"/>
      <c r="G111" s="758"/>
      <c r="H111" s="805"/>
      <c r="I111" s="805"/>
      <c r="J111" s="805"/>
      <c r="K111" s="805"/>
      <c r="L111" s="805"/>
      <c r="M111" s="758"/>
      <c r="N111" s="804"/>
      <c r="O111" s="867"/>
      <c r="P111" s="867"/>
      <c r="Q111" s="867"/>
      <c r="R111" s="867"/>
      <c r="S111" s="758"/>
      <c r="T111" s="758"/>
      <c r="U111" s="758"/>
      <c r="V111" s="758"/>
      <c r="W111" s="758"/>
      <c r="X111" s="758"/>
      <c r="Y111" s="909"/>
      <c r="Z111" s="761"/>
      <c r="AA111" s="764"/>
      <c r="AB111" s="761"/>
      <c r="AC111" s="761"/>
      <c r="AD111" s="761"/>
    </row>
    <row r="112" spans="1:30" ht="9" customHeight="1">
      <c r="A112" s="760"/>
      <c r="B112" s="760"/>
      <c r="C112" s="758"/>
      <c r="D112" s="758"/>
      <c r="E112" s="758"/>
      <c r="F112" s="758"/>
      <c r="G112" s="758"/>
      <c r="H112" s="805"/>
      <c r="I112" s="805"/>
      <c r="J112" s="805"/>
      <c r="K112" s="805"/>
      <c r="L112" s="805"/>
      <c r="M112" s="758"/>
      <c r="N112" s="804"/>
      <c r="O112" s="867"/>
      <c r="P112" s="867"/>
      <c r="Q112" s="867"/>
      <c r="R112" s="867"/>
      <c r="S112" s="758"/>
      <c r="T112" s="758"/>
      <c r="U112" s="758"/>
      <c r="V112" s="758"/>
      <c r="W112" s="758"/>
      <c r="X112" s="758"/>
      <c r="Y112" s="909"/>
      <c r="Z112" s="761"/>
      <c r="AA112" s="764"/>
      <c r="AB112" s="761"/>
      <c r="AC112" s="761"/>
      <c r="AD112" s="761"/>
    </row>
    <row r="113" spans="1:30" ht="9" customHeight="1">
      <c r="A113" s="760"/>
      <c r="B113" s="760"/>
      <c r="C113" s="758"/>
      <c r="D113" s="758"/>
      <c r="E113" s="758"/>
      <c r="F113" s="758"/>
      <c r="G113" s="758"/>
      <c r="H113" s="805"/>
      <c r="I113" s="805"/>
      <c r="J113" s="805"/>
      <c r="K113" s="805"/>
      <c r="L113" s="805"/>
      <c r="M113" s="758"/>
      <c r="N113" s="804"/>
      <c r="O113" s="867"/>
      <c r="P113" s="867"/>
      <c r="Q113" s="867"/>
      <c r="R113" s="867"/>
      <c r="S113" s="758"/>
      <c r="T113" s="758"/>
      <c r="U113" s="758"/>
      <c r="V113" s="758"/>
      <c r="W113" s="758"/>
      <c r="X113" s="758"/>
      <c r="Y113" s="909"/>
      <c r="Z113" s="761"/>
      <c r="AA113" s="764"/>
      <c r="AB113" s="761"/>
      <c r="AC113" s="761"/>
      <c r="AD113" s="761"/>
    </row>
    <row r="114" spans="1:30" ht="9" customHeight="1">
      <c r="A114" s="760"/>
      <c r="B114" s="760"/>
      <c r="C114" s="758"/>
      <c r="D114" s="758"/>
      <c r="E114" s="758"/>
      <c r="F114" s="758"/>
      <c r="G114" s="758"/>
      <c r="H114" s="805"/>
      <c r="I114" s="805"/>
      <c r="J114" s="805"/>
      <c r="K114" s="805"/>
      <c r="L114" s="805"/>
      <c r="M114" s="758"/>
      <c r="N114" s="804"/>
      <c r="O114" s="867"/>
      <c r="P114" s="867"/>
      <c r="Q114" s="867"/>
      <c r="R114" s="867"/>
      <c r="S114" s="758"/>
      <c r="T114" s="758"/>
      <c r="U114" s="758"/>
      <c r="V114" s="758"/>
      <c r="W114" s="758"/>
      <c r="X114" s="758"/>
      <c r="Y114" s="909"/>
      <c r="Z114" s="761"/>
      <c r="AA114" s="764"/>
      <c r="AB114" s="761"/>
      <c r="AC114" s="761"/>
      <c r="AD114" s="761"/>
    </row>
    <row r="115" spans="1:30" ht="9" customHeight="1">
      <c r="A115" s="760"/>
      <c r="B115" s="760"/>
      <c r="C115" s="758"/>
      <c r="D115" s="758"/>
      <c r="E115" s="758"/>
      <c r="F115" s="758"/>
      <c r="G115" s="758"/>
      <c r="H115" s="805"/>
      <c r="I115" s="805"/>
      <c r="J115" s="805"/>
      <c r="K115" s="805"/>
      <c r="L115" s="805"/>
      <c r="M115" s="758"/>
      <c r="N115" s="804"/>
      <c r="O115" s="867"/>
      <c r="P115" s="867"/>
      <c r="Q115" s="867"/>
      <c r="R115" s="867"/>
      <c r="S115" s="758"/>
      <c r="T115" s="758"/>
      <c r="U115" s="758"/>
      <c r="V115" s="758"/>
      <c r="W115" s="758"/>
      <c r="X115" s="758"/>
      <c r="Y115" s="909"/>
      <c r="Z115" s="761"/>
      <c r="AA115" s="764"/>
      <c r="AB115" s="761"/>
      <c r="AC115" s="761"/>
      <c r="AD115" s="761"/>
    </row>
    <row r="116" spans="1:30" ht="9" customHeight="1">
      <c r="A116" s="760"/>
      <c r="B116" s="760"/>
      <c r="C116" s="758"/>
      <c r="D116" s="758"/>
      <c r="E116" s="758"/>
      <c r="F116" s="758"/>
      <c r="G116" s="758"/>
      <c r="H116" s="805"/>
      <c r="I116" s="805"/>
      <c r="J116" s="805"/>
      <c r="K116" s="805"/>
      <c r="L116" s="805"/>
      <c r="M116" s="758"/>
      <c r="N116" s="804"/>
      <c r="O116" s="867"/>
      <c r="P116" s="867"/>
      <c r="Q116" s="867"/>
      <c r="R116" s="867"/>
      <c r="S116" s="758"/>
      <c r="T116" s="758"/>
      <c r="U116" s="758"/>
      <c r="V116" s="758"/>
      <c r="W116" s="758"/>
      <c r="X116" s="758"/>
      <c r="Y116" s="909"/>
      <c r="Z116" s="761"/>
      <c r="AA116" s="764"/>
      <c r="AB116" s="761"/>
      <c r="AC116" s="761"/>
      <c r="AD116" s="761"/>
    </row>
    <row r="117" spans="1:30" ht="9" customHeight="1">
      <c r="A117" s="760"/>
      <c r="B117" s="760"/>
      <c r="C117" s="758"/>
      <c r="D117" s="758"/>
      <c r="E117" s="758"/>
      <c r="F117" s="758"/>
      <c r="G117" s="758"/>
      <c r="H117" s="805"/>
      <c r="I117" s="805"/>
      <c r="J117" s="805"/>
      <c r="K117" s="805"/>
      <c r="L117" s="805"/>
      <c r="M117" s="758"/>
      <c r="N117" s="804"/>
      <c r="O117" s="867"/>
      <c r="P117" s="867"/>
      <c r="Q117" s="867"/>
      <c r="R117" s="867"/>
      <c r="S117" s="758"/>
      <c r="T117" s="758"/>
      <c r="U117" s="758"/>
      <c r="V117" s="758"/>
      <c r="W117" s="758"/>
      <c r="X117" s="758"/>
      <c r="Y117" s="909"/>
      <c r="Z117" s="761"/>
      <c r="AA117" s="764"/>
      <c r="AB117" s="761"/>
      <c r="AC117" s="761"/>
      <c r="AD117" s="761"/>
    </row>
    <row r="118" spans="1:30" ht="9" customHeight="1">
      <c r="A118" s="760"/>
      <c r="B118" s="760"/>
      <c r="C118" s="758"/>
      <c r="D118" s="758"/>
      <c r="E118" s="758"/>
      <c r="F118" s="758"/>
      <c r="G118" s="758"/>
      <c r="H118" s="805"/>
      <c r="I118" s="805"/>
      <c r="J118" s="805"/>
      <c r="K118" s="805"/>
      <c r="L118" s="805"/>
      <c r="M118" s="758"/>
      <c r="N118" s="804"/>
      <c r="O118" s="867"/>
      <c r="P118" s="867"/>
      <c r="Q118" s="867"/>
      <c r="R118" s="867"/>
      <c r="S118" s="758"/>
      <c r="T118" s="758"/>
      <c r="U118" s="758"/>
      <c r="V118" s="758"/>
      <c r="W118" s="758"/>
      <c r="X118" s="758"/>
      <c r="Y118" s="909"/>
      <c r="Z118" s="761"/>
      <c r="AA118" s="764"/>
      <c r="AB118" s="761"/>
      <c r="AC118" s="761"/>
      <c r="AD118" s="761"/>
    </row>
    <row r="119" spans="1:30" ht="9" customHeight="1">
      <c r="A119" s="760"/>
      <c r="B119" s="760"/>
      <c r="C119" s="758"/>
      <c r="D119" s="758"/>
      <c r="E119" s="758"/>
      <c r="F119" s="758"/>
      <c r="G119" s="758"/>
      <c r="H119" s="805"/>
      <c r="I119" s="805"/>
      <c r="J119" s="805"/>
      <c r="K119" s="805"/>
      <c r="L119" s="805"/>
      <c r="M119" s="758"/>
      <c r="N119" s="804"/>
      <c r="O119" s="867"/>
      <c r="P119" s="867"/>
      <c r="Q119" s="867"/>
      <c r="R119" s="867"/>
      <c r="S119" s="758"/>
      <c r="T119" s="758"/>
      <c r="U119" s="758"/>
      <c r="V119" s="758"/>
      <c r="W119" s="758"/>
      <c r="X119" s="758"/>
      <c r="Y119" s="909"/>
      <c r="Z119" s="761"/>
      <c r="AA119" s="764"/>
      <c r="AB119" s="761"/>
      <c r="AC119" s="761"/>
      <c r="AD119" s="761"/>
    </row>
    <row r="120" spans="1:30" ht="9" customHeight="1">
      <c r="A120" s="760"/>
      <c r="B120" s="760"/>
      <c r="C120" s="758"/>
      <c r="D120" s="758"/>
      <c r="E120" s="758"/>
      <c r="F120" s="758"/>
      <c r="G120" s="758"/>
      <c r="H120" s="805"/>
      <c r="I120" s="805"/>
      <c r="J120" s="805"/>
      <c r="K120" s="805"/>
      <c r="L120" s="805"/>
      <c r="M120" s="758"/>
      <c r="N120" s="804"/>
      <c r="O120" s="867"/>
      <c r="P120" s="867"/>
      <c r="Q120" s="867"/>
      <c r="R120" s="867"/>
      <c r="S120" s="758"/>
      <c r="T120" s="758"/>
      <c r="U120" s="758"/>
      <c r="V120" s="758"/>
      <c r="W120" s="758"/>
      <c r="X120" s="758"/>
      <c r="Y120" s="909"/>
      <c r="Z120" s="761"/>
      <c r="AA120" s="764"/>
      <c r="AB120" s="761"/>
      <c r="AC120" s="761"/>
      <c r="AD120" s="761"/>
    </row>
    <row r="121" spans="1:30" ht="9" customHeight="1">
      <c r="A121" s="760"/>
      <c r="B121" s="760"/>
      <c r="C121" s="758"/>
      <c r="D121" s="758"/>
      <c r="E121" s="758"/>
      <c r="F121" s="758"/>
      <c r="G121" s="758"/>
      <c r="H121" s="805"/>
      <c r="I121" s="805"/>
      <c r="J121" s="805"/>
      <c r="K121" s="805"/>
      <c r="L121" s="805"/>
      <c r="M121" s="758"/>
      <c r="N121" s="804"/>
      <c r="O121" s="867"/>
      <c r="P121" s="867"/>
      <c r="Q121" s="867"/>
      <c r="R121" s="867"/>
      <c r="S121" s="758"/>
      <c r="T121" s="758"/>
      <c r="U121" s="758"/>
      <c r="V121" s="758"/>
      <c r="W121" s="758"/>
      <c r="X121" s="758"/>
      <c r="Y121" s="909"/>
      <c r="Z121" s="761"/>
      <c r="AA121" s="764"/>
      <c r="AB121" s="761"/>
      <c r="AC121" s="761"/>
      <c r="AD121" s="761"/>
    </row>
    <row r="122" spans="1:30" ht="9" customHeight="1">
      <c r="A122" s="760"/>
      <c r="B122" s="760"/>
      <c r="C122" s="758"/>
      <c r="D122" s="758"/>
      <c r="E122" s="758"/>
      <c r="F122" s="758"/>
      <c r="G122" s="758"/>
      <c r="H122" s="805"/>
      <c r="I122" s="805"/>
      <c r="J122" s="805"/>
      <c r="K122" s="805"/>
      <c r="L122" s="805"/>
      <c r="M122" s="758"/>
      <c r="N122" s="804"/>
      <c r="O122" s="867"/>
      <c r="P122" s="867"/>
      <c r="Q122" s="867"/>
      <c r="R122" s="867"/>
      <c r="S122" s="758"/>
      <c r="T122" s="758"/>
      <c r="U122" s="758"/>
      <c r="V122" s="758"/>
      <c r="W122" s="758"/>
      <c r="X122" s="758"/>
      <c r="Y122" s="909"/>
      <c r="Z122" s="761"/>
      <c r="AA122" s="764"/>
      <c r="AB122" s="761"/>
      <c r="AC122" s="761"/>
      <c r="AD122" s="761"/>
    </row>
    <row r="123" spans="1:30" ht="9" customHeight="1">
      <c r="A123" s="760"/>
      <c r="B123" s="760"/>
      <c r="C123" s="758"/>
      <c r="D123" s="758"/>
      <c r="E123" s="758"/>
      <c r="F123" s="758"/>
      <c r="G123" s="758"/>
      <c r="H123" s="805"/>
      <c r="I123" s="805"/>
      <c r="J123" s="805"/>
      <c r="K123" s="805"/>
      <c r="L123" s="805"/>
      <c r="M123" s="758"/>
      <c r="N123" s="804"/>
      <c r="O123" s="867"/>
      <c r="P123" s="867"/>
      <c r="Q123" s="867"/>
      <c r="R123" s="867"/>
      <c r="S123" s="758"/>
      <c r="T123" s="758"/>
      <c r="U123" s="758"/>
      <c r="V123" s="758"/>
      <c r="W123" s="758"/>
      <c r="X123" s="758"/>
      <c r="Y123" s="909"/>
      <c r="Z123" s="761"/>
      <c r="AA123" s="764"/>
      <c r="AB123" s="761"/>
      <c r="AC123" s="761"/>
      <c r="AD123" s="761"/>
    </row>
    <row r="124" spans="1:30" ht="9" customHeight="1">
      <c r="A124" s="760"/>
      <c r="B124" s="760"/>
      <c r="C124" s="758"/>
      <c r="D124" s="758"/>
      <c r="E124" s="758"/>
      <c r="F124" s="758"/>
      <c r="G124" s="758"/>
      <c r="H124" s="805"/>
      <c r="I124" s="805"/>
      <c r="J124" s="805"/>
      <c r="K124" s="805"/>
      <c r="L124" s="805"/>
      <c r="M124" s="758"/>
      <c r="N124" s="804"/>
      <c r="O124" s="867"/>
      <c r="P124" s="867"/>
      <c r="Q124" s="867"/>
      <c r="R124" s="867"/>
      <c r="S124" s="758"/>
      <c r="T124" s="758"/>
      <c r="U124" s="758"/>
      <c r="V124" s="758"/>
      <c r="W124" s="758"/>
      <c r="X124" s="758"/>
      <c r="Y124" s="909"/>
      <c r="Z124" s="761"/>
      <c r="AA124" s="764"/>
      <c r="AB124" s="761"/>
      <c r="AC124" s="761"/>
      <c r="AD124" s="761"/>
    </row>
    <row r="125" spans="1:30" ht="9" customHeight="1">
      <c r="A125" s="760"/>
      <c r="B125" s="760"/>
      <c r="C125" s="758"/>
      <c r="D125" s="758"/>
      <c r="E125" s="758"/>
      <c r="F125" s="758"/>
      <c r="G125" s="758"/>
      <c r="H125" s="805"/>
      <c r="I125" s="805"/>
      <c r="J125" s="805"/>
      <c r="K125" s="805"/>
      <c r="L125" s="805"/>
      <c r="M125" s="758"/>
      <c r="N125" s="804"/>
      <c r="O125" s="867"/>
      <c r="P125" s="867"/>
      <c r="Q125" s="867"/>
      <c r="R125" s="867"/>
      <c r="S125" s="758"/>
      <c r="T125" s="758"/>
      <c r="U125" s="758"/>
      <c r="V125" s="758"/>
      <c r="W125" s="758"/>
      <c r="X125" s="758"/>
      <c r="Y125" s="909"/>
      <c r="Z125" s="761"/>
      <c r="AA125" s="764"/>
      <c r="AB125" s="761"/>
      <c r="AC125" s="761"/>
      <c r="AD125" s="761"/>
    </row>
    <row r="126" spans="1:30" ht="9" customHeight="1">
      <c r="A126" s="760"/>
      <c r="B126" s="760"/>
      <c r="C126" s="758"/>
      <c r="D126" s="758"/>
      <c r="E126" s="758"/>
      <c r="F126" s="758"/>
      <c r="G126" s="758"/>
      <c r="H126" s="805"/>
      <c r="I126" s="805"/>
      <c r="J126" s="805"/>
      <c r="K126" s="805"/>
      <c r="L126" s="805"/>
      <c r="M126" s="758"/>
      <c r="N126" s="804"/>
      <c r="O126" s="867"/>
      <c r="P126" s="867"/>
      <c r="Q126" s="867"/>
      <c r="R126" s="867"/>
      <c r="S126" s="758"/>
      <c r="T126" s="758"/>
      <c r="U126" s="758"/>
      <c r="V126" s="758"/>
      <c r="W126" s="758"/>
      <c r="X126" s="758"/>
      <c r="Y126" s="909"/>
      <c r="Z126" s="761"/>
      <c r="AA126" s="764"/>
      <c r="AB126" s="761"/>
      <c r="AC126" s="761"/>
      <c r="AD126" s="761"/>
    </row>
    <row r="127" spans="1:30" ht="9" customHeight="1">
      <c r="A127" s="760"/>
      <c r="B127" s="760"/>
      <c r="C127" s="758"/>
      <c r="D127" s="758"/>
      <c r="E127" s="758"/>
      <c r="F127" s="758"/>
      <c r="G127" s="758"/>
      <c r="H127" s="805"/>
      <c r="I127" s="805"/>
      <c r="J127" s="805"/>
      <c r="K127" s="805"/>
      <c r="L127" s="805"/>
      <c r="M127" s="758"/>
      <c r="N127" s="804"/>
      <c r="O127" s="867"/>
      <c r="P127" s="867"/>
      <c r="Q127" s="867"/>
      <c r="R127" s="867"/>
      <c r="S127" s="758"/>
      <c r="T127" s="758"/>
      <c r="U127" s="758"/>
      <c r="V127" s="758"/>
      <c r="W127" s="758"/>
      <c r="X127" s="758"/>
      <c r="Y127" s="909"/>
      <c r="Z127" s="761"/>
      <c r="AA127" s="764"/>
      <c r="AB127" s="761"/>
      <c r="AC127" s="761"/>
      <c r="AD127" s="761"/>
    </row>
    <row r="128" spans="1:30" ht="9" customHeight="1">
      <c r="A128" s="760"/>
      <c r="B128" s="760"/>
      <c r="C128" s="758"/>
      <c r="D128" s="758"/>
      <c r="E128" s="758"/>
      <c r="F128" s="758"/>
      <c r="G128" s="758"/>
      <c r="H128" s="805"/>
      <c r="I128" s="805"/>
      <c r="J128" s="805"/>
      <c r="K128" s="805"/>
      <c r="L128" s="805"/>
      <c r="M128" s="758"/>
      <c r="N128" s="804"/>
      <c r="O128" s="867"/>
      <c r="P128" s="867"/>
      <c r="Q128" s="867"/>
      <c r="R128" s="867"/>
      <c r="S128" s="758"/>
      <c r="T128" s="758"/>
      <c r="U128" s="758"/>
      <c r="V128" s="758"/>
      <c r="W128" s="758"/>
      <c r="X128" s="758"/>
      <c r="Y128" s="909"/>
      <c r="Z128" s="761"/>
      <c r="AA128" s="764"/>
      <c r="AB128" s="761"/>
      <c r="AC128" s="761"/>
      <c r="AD128" s="761"/>
    </row>
    <row r="129" spans="1:30" ht="9" customHeight="1">
      <c r="A129" s="760"/>
      <c r="B129" s="760"/>
      <c r="C129" s="758"/>
      <c r="D129" s="758"/>
      <c r="E129" s="758"/>
      <c r="F129" s="758"/>
      <c r="G129" s="758"/>
      <c r="H129" s="805"/>
      <c r="I129" s="805"/>
      <c r="J129" s="805"/>
      <c r="K129" s="805"/>
      <c r="L129" s="805"/>
      <c r="M129" s="758"/>
      <c r="N129" s="804"/>
      <c r="O129" s="867"/>
      <c r="P129" s="867"/>
      <c r="Q129" s="867"/>
      <c r="R129" s="867"/>
      <c r="S129" s="758"/>
      <c r="T129" s="758"/>
      <c r="U129" s="758"/>
      <c r="V129" s="758"/>
      <c r="W129" s="758"/>
      <c r="X129" s="758"/>
      <c r="Y129" s="909"/>
      <c r="Z129" s="761"/>
      <c r="AA129" s="764"/>
      <c r="AB129" s="761"/>
      <c r="AC129" s="761"/>
      <c r="AD129" s="761"/>
    </row>
    <row r="130" spans="1:30" ht="9" customHeight="1">
      <c r="A130" s="760"/>
      <c r="B130" s="760"/>
      <c r="C130" s="758"/>
      <c r="D130" s="758"/>
      <c r="E130" s="758"/>
      <c r="F130" s="758"/>
      <c r="G130" s="758"/>
      <c r="H130" s="805"/>
      <c r="I130" s="805"/>
      <c r="J130" s="805"/>
      <c r="K130" s="805"/>
      <c r="L130" s="805"/>
      <c r="M130" s="758"/>
      <c r="N130" s="804"/>
      <c r="O130" s="869"/>
      <c r="P130" s="869"/>
      <c r="Q130" s="869"/>
      <c r="R130" s="869"/>
      <c r="S130" s="758"/>
      <c r="T130" s="758"/>
      <c r="U130" s="758"/>
      <c r="V130" s="758"/>
      <c r="W130" s="758"/>
      <c r="X130" s="758"/>
      <c r="Y130" s="909"/>
      <c r="Z130" s="761"/>
      <c r="AA130" s="764"/>
      <c r="AB130" s="761"/>
      <c r="AC130" s="761"/>
      <c r="AD130" s="761"/>
    </row>
    <row r="131" spans="1:30" ht="9" customHeight="1">
      <c r="A131" s="760"/>
      <c r="B131" s="760"/>
      <c r="C131" s="758"/>
      <c r="D131" s="758"/>
      <c r="E131" s="758"/>
      <c r="F131" s="758"/>
      <c r="G131" s="758"/>
      <c r="H131" s="805"/>
      <c r="I131" s="805"/>
      <c r="J131" s="805"/>
      <c r="K131" s="805"/>
      <c r="L131" s="805"/>
      <c r="M131" s="758"/>
      <c r="N131" s="804"/>
      <c r="O131" s="870"/>
      <c r="P131" s="870"/>
      <c r="Q131" s="870"/>
      <c r="R131" s="870"/>
      <c r="S131" s="758"/>
      <c r="T131" s="758"/>
      <c r="U131" s="758"/>
      <c r="V131" s="758"/>
      <c r="W131" s="758"/>
      <c r="X131" s="758"/>
      <c r="Y131" s="909"/>
      <c r="Z131" s="761"/>
      <c r="AA131" s="764"/>
      <c r="AB131" s="761"/>
      <c r="AC131" s="761"/>
      <c r="AD131" s="761"/>
    </row>
    <row r="132" spans="1:30" ht="9" customHeight="1">
      <c r="A132" s="760"/>
      <c r="B132" s="760"/>
      <c r="C132" s="758"/>
      <c r="D132" s="758"/>
      <c r="E132" s="758"/>
      <c r="F132" s="758"/>
      <c r="G132" s="758"/>
      <c r="H132" s="805"/>
      <c r="I132" s="805"/>
      <c r="J132" s="805"/>
      <c r="K132" s="805"/>
      <c r="L132" s="805"/>
      <c r="M132" s="758"/>
      <c r="N132" s="804"/>
      <c r="O132" s="869"/>
      <c r="P132" s="869"/>
      <c r="Q132" s="869"/>
      <c r="R132" s="869"/>
      <c r="S132" s="758"/>
      <c r="T132" s="758"/>
      <c r="U132" s="758"/>
      <c r="V132" s="758"/>
      <c r="W132" s="758"/>
      <c r="X132" s="758"/>
      <c r="Y132" s="909"/>
      <c r="Z132" s="761"/>
      <c r="AA132" s="764"/>
      <c r="AB132" s="761"/>
      <c r="AC132" s="761"/>
      <c r="AD132" s="761"/>
    </row>
    <row r="133" spans="1:30" ht="9" customHeight="1">
      <c r="A133" s="760"/>
      <c r="B133" s="760"/>
      <c r="C133" s="758"/>
      <c r="D133" s="758"/>
      <c r="E133" s="758"/>
      <c r="F133" s="758"/>
      <c r="G133" s="758"/>
      <c r="H133" s="805"/>
      <c r="I133" s="805"/>
      <c r="J133" s="805"/>
      <c r="K133" s="805"/>
      <c r="L133" s="805"/>
      <c r="M133" s="758"/>
      <c r="N133" s="804"/>
      <c r="O133" s="870"/>
      <c r="P133" s="870"/>
      <c r="Q133" s="870"/>
      <c r="R133" s="870"/>
      <c r="S133" s="758"/>
      <c r="T133" s="758"/>
      <c r="U133" s="758"/>
      <c r="V133" s="758"/>
      <c r="W133" s="758"/>
      <c r="X133" s="758"/>
      <c r="Y133" s="909"/>
      <c r="Z133" s="761"/>
      <c r="AA133" s="764"/>
      <c r="AB133" s="761"/>
      <c r="AC133" s="761"/>
      <c r="AD133" s="761"/>
    </row>
    <row r="134" spans="1:30" ht="9" customHeight="1">
      <c r="A134" s="760"/>
      <c r="B134" s="760"/>
      <c r="C134" s="758"/>
      <c r="D134" s="758"/>
      <c r="E134" s="758"/>
      <c r="F134" s="758"/>
      <c r="G134" s="758"/>
      <c r="H134" s="805"/>
      <c r="I134" s="805"/>
      <c r="J134" s="805"/>
      <c r="K134" s="805"/>
      <c r="L134" s="805"/>
      <c r="M134" s="758"/>
      <c r="N134" s="804"/>
      <c r="O134" s="867"/>
      <c r="P134" s="867"/>
      <c r="Q134" s="867"/>
      <c r="R134" s="867"/>
      <c r="S134" s="758"/>
      <c r="T134" s="758"/>
      <c r="U134" s="758"/>
      <c r="V134" s="758"/>
      <c r="W134" s="758"/>
      <c r="X134" s="758"/>
      <c r="Y134" s="909"/>
      <c r="Z134" s="761"/>
      <c r="AA134" s="764"/>
      <c r="AB134" s="761"/>
      <c r="AC134" s="761"/>
      <c r="AD134" s="761"/>
    </row>
    <row r="135" spans="1:30" ht="9" customHeight="1">
      <c r="A135" s="760"/>
      <c r="B135" s="760"/>
      <c r="C135" s="758"/>
      <c r="D135" s="758"/>
      <c r="E135" s="758"/>
      <c r="F135" s="758"/>
      <c r="G135" s="758"/>
      <c r="H135" s="805"/>
      <c r="I135" s="805"/>
      <c r="J135" s="805"/>
      <c r="K135" s="805"/>
      <c r="L135" s="805"/>
      <c r="M135" s="758"/>
      <c r="N135" s="804"/>
      <c r="O135" s="867"/>
      <c r="P135" s="867"/>
      <c r="Q135" s="867"/>
      <c r="R135" s="867"/>
      <c r="S135" s="758"/>
      <c r="T135" s="758"/>
      <c r="U135" s="758"/>
      <c r="V135" s="758"/>
      <c r="W135" s="758"/>
      <c r="X135" s="758"/>
      <c r="Y135" s="909"/>
      <c r="Z135" s="761"/>
      <c r="AA135" s="764"/>
      <c r="AB135" s="761"/>
      <c r="AC135" s="761"/>
      <c r="AD135" s="761"/>
    </row>
    <row r="136" spans="1:30" ht="9" customHeight="1">
      <c r="A136" s="760"/>
      <c r="B136" s="760"/>
      <c r="C136" s="758"/>
      <c r="D136" s="758"/>
      <c r="E136" s="758"/>
      <c r="F136" s="758"/>
      <c r="G136" s="758"/>
      <c r="H136" s="805"/>
      <c r="I136" s="805"/>
      <c r="J136" s="805"/>
      <c r="K136" s="805"/>
      <c r="L136" s="805"/>
      <c r="M136" s="758"/>
      <c r="N136" s="804"/>
      <c r="O136" s="867"/>
      <c r="P136" s="867"/>
      <c r="Q136" s="867"/>
      <c r="R136" s="867"/>
      <c r="S136" s="758"/>
      <c r="T136" s="758"/>
      <c r="U136" s="758"/>
      <c r="V136" s="758"/>
      <c r="W136" s="758"/>
      <c r="X136" s="758"/>
      <c r="Y136" s="909"/>
      <c r="Z136" s="761"/>
      <c r="AA136" s="764"/>
      <c r="AB136" s="761"/>
      <c r="AC136" s="761"/>
      <c r="AD136" s="761"/>
    </row>
    <row r="137" spans="1:30" ht="9" customHeight="1">
      <c r="A137" s="760"/>
      <c r="B137" s="760"/>
      <c r="C137" s="758"/>
      <c r="D137" s="758"/>
      <c r="E137" s="758"/>
      <c r="F137" s="758"/>
      <c r="G137" s="758"/>
      <c r="H137" s="805"/>
      <c r="I137" s="805"/>
      <c r="J137" s="805"/>
      <c r="K137" s="805"/>
      <c r="L137" s="805"/>
      <c r="M137" s="758"/>
      <c r="N137" s="804"/>
      <c r="O137" s="871"/>
      <c r="P137" s="871"/>
      <c r="Q137" s="871"/>
      <c r="R137" s="871"/>
      <c r="S137" s="758"/>
      <c r="T137" s="758"/>
      <c r="U137" s="758"/>
      <c r="V137" s="758"/>
      <c r="W137" s="758"/>
      <c r="X137" s="758"/>
      <c r="Y137" s="909"/>
      <c r="Z137" s="761"/>
      <c r="AA137" s="764"/>
      <c r="AB137" s="761"/>
      <c r="AC137" s="761"/>
      <c r="AD137" s="761"/>
    </row>
    <row r="138" spans="1:30" ht="9" customHeight="1">
      <c r="A138" s="760"/>
      <c r="B138" s="760"/>
      <c r="C138" s="758"/>
      <c r="D138" s="758"/>
      <c r="E138" s="758"/>
      <c r="F138" s="758"/>
      <c r="G138" s="758"/>
      <c r="H138" s="805"/>
      <c r="I138" s="805"/>
      <c r="J138" s="805"/>
      <c r="K138" s="805"/>
      <c r="L138" s="805"/>
      <c r="M138" s="758"/>
      <c r="N138" s="804"/>
      <c r="O138" s="868"/>
      <c r="P138" s="868"/>
      <c r="Q138" s="868"/>
      <c r="R138" s="868"/>
      <c r="S138" s="758"/>
      <c r="T138" s="758"/>
      <c r="U138" s="758"/>
      <c r="V138" s="758"/>
      <c r="W138" s="758"/>
      <c r="X138" s="758"/>
      <c r="Y138" s="909"/>
      <c r="Z138" s="761"/>
      <c r="AA138" s="764"/>
      <c r="AB138" s="761"/>
      <c r="AC138" s="761"/>
      <c r="AD138" s="761"/>
    </row>
    <row r="139" spans="1:30" ht="9" customHeight="1">
      <c r="A139" s="760"/>
      <c r="B139" s="760"/>
      <c r="C139" s="758"/>
      <c r="D139" s="758"/>
      <c r="E139" s="758"/>
      <c r="F139" s="758"/>
      <c r="G139" s="758"/>
      <c r="H139" s="805"/>
      <c r="I139" s="805"/>
      <c r="J139" s="805"/>
      <c r="K139" s="805"/>
      <c r="L139" s="805"/>
      <c r="M139" s="758"/>
      <c r="N139" s="804"/>
      <c r="O139" s="758"/>
      <c r="P139" s="758"/>
      <c r="Q139" s="758"/>
      <c r="R139" s="758"/>
      <c r="S139" s="758"/>
      <c r="T139" s="758"/>
      <c r="U139" s="758"/>
      <c r="V139" s="758"/>
      <c r="W139" s="758"/>
      <c r="X139" s="758"/>
      <c r="Y139" s="909"/>
      <c r="Z139" s="761"/>
      <c r="AA139" s="764"/>
      <c r="AB139" s="761"/>
      <c r="AC139" s="761"/>
      <c r="AD139" s="761"/>
    </row>
    <row r="140" spans="1:30" ht="9" customHeight="1">
      <c r="A140" s="760"/>
      <c r="B140" s="760"/>
      <c r="C140" s="758"/>
      <c r="D140" s="758"/>
      <c r="E140" s="758"/>
      <c r="F140" s="758"/>
      <c r="G140" s="758"/>
      <c r="H140" s="805"/>
      <c r="I140" s="805"/>
      <c r="J140" s="805"/>
      <c r="K140" s="805"/>
      <c r="L140" s="805"/>
      <c r="M140" s="758"/>
      <c r="N140" s="804"/>
      <c r="O140" s="758"/>
      <c r="P140" s="758"/>
      <c r="Q140" s="758"/>
      <c r="R140" s="758"/>
      <c r="S140" s="758"/>
      <c r="T140" s="758"/>
      <c r="U140" s="758"/>
      <c r="V140" s="758"/>
      <c r="W140" s="758"/>
      <c r="X140" s="758"/>
      <c r="Y140" s="909"/>
      <c r="Z140" s="761"/>
      <c r="AA140" s="764"/>
      <c r="AB140" s="761"/>
      <c r="AC140" s="761"/>
      <c r="AD140" s="761"/>
    </row>
    <row r="141" spans="1:30" ht="9" customHeight="1">
      <c r="A141" s="760"/>
      <c r="B141" s="760"/>
      <c r="C141" s="758"/>
      <c r="D141" s="758"/>
      <c r="E141" s="758"/>
      <c r="F141" s="758"/>
      <c r="G141" s="758"/>
      <c r="H141" s="805"/>
      <c r="I141" s="805"/>
      <c r="J141" s="805"/>
      <c r="K141" s="805"/>
      <c r="L141" s="805"/>
      <c r="M141" s="758"/>
      <c r="N141" s="804"/>
      <c r="O141" s="758"/>
      <c r="P141" s="758"/>
      <c r="Q141" s="758"/>
      <c r="R141" s="758"/>
      <c r="S141" s="758"/>
      <c r="T141" s="758"/>
      <c r="U141" s="758"/>
      <c r="V141" s="758"/>
      <c r="W141" s="758"/>
      <c r="X141" s="758"/>
      <c r="Y141" s="909"/>
      <c r="Z141" s="761"/>
      <c r="AA141" s="764"/>
      <c r="AB141" s="761"/>
      <c r="AC141" s="761"/>
      <c r="AD141" s="761"/>
    </row>
    <row r="142" spans="1:30" ht="9" customHeight="1">
      <c r="A142" s="760"/>
      <c r="B142" s="760"/>
      <c r="C142" s="758"/>
      <c r="D142" s="758"/>
      <c r="E142" s="758"/>
      <c r="F142" s="758"/>
      <c r="G142" s="758"/>
      <c r="H142" s="805"/>
      <c r="I142" s="805"/>
      <c r="J142" s="805"/>
      <c r="K142" s="805"/>
      <c r="L142" s="805"/>
      <c r="M142" s="758"/>
      <c r="N142" s="804"/>
      <c r="O142" s="758"/>
      <c r="P142" s="758"/>
      <c r="Q142" s="758"/>
      <c r="R142" s="758"/>
      <c r="S142" s="758"/>
      <c r="T142" s="758"/>
      <c r="U142" s="758"/>
      <c r="V142" s="758"/>
      <c r="W142" s="758"/>
      <c r="X142" s="758"/>
      <c r="Y142" s="909"/>
      <c r="Z142" s="761"/>
      <c r="AA142" s="764"/>
      <c r="AB142" s="761"/>
      <c r="AC142" s="761"/>
      <c r="AD142" s="761"/>
    </row>
    <row r="143" spans="1:30" ht="9" customHeight="1">
      <c r="A143" s="760"/>
      <c r="B143" s="760"/>
      <c r="C143" s="758"/>
      <c r="D143" s="758"/>
      <c r="E143" s="758"/>
      <c r="F143" s="758"/>
      <c r="G143" s="758"/>
      <c r="H143" s="805"/>
      <c r="I143" s="805"/>
      <c r="J143" s="805"/>
      <c r="K143" s="805"/>
      <c r="L143" s="805"/>
      <c r="M143" s="758"/>
      <c r="N143" s="804"/>
      <c r="O143" s="758"/>
      <c r="P143" s="758"/>
      <c r="Q143" s="758"/>
      <c r="R143" s="758"/>
      <c r="S143" s="758"/>
      <c r="T143" s="758"/>
      <c r="U143" s="758"/>
      <c r="V143" s="758"/>
      <c r="W143" s="758"/>
      <c r="X143" s="758"/>
      <c r="Y143" s="909"/>
      <c r="Z143" s="761"/>
      <c r="AA143" s="764"/>
      <c r="AB143" s="761"/>
      <c r="AC143" s="761"/>
      <c r="AD143" s="761"/>
    </row>
    <row r="144" spans="1:30" ht="9" customHeight="1">
      <c r="A144" s="760"/>
      <c r="B144" s="760"/>
      <c r="C144" s="758"/>
      <c r="D144" s="758"/>
      <c r="E144" s="758"/>
      <c r="F144" s="758"/>
      <c r="G144" s="758"/>
      <c r="H144" s="805"/>
      <c r="I144" s="805"/>
      <c r="J144" s="805"/>
      <c r="K144" s="805"/>
      <c r="L144" s="805"/>
      <c r="M144" s="758"/>
      <c r="N144" s="804"/>
      <c r="O144" s="758"/>
      <c r="P144" s="758"/>
      <c r="Q144" s="758"/>
      <c r="R144" s="758"/>
      <c r="S144" s="758"/>
      <c r="T144" s="758"/>
      <c r="U144" s="758"/>
      <c r="V144" s="758"/>
      <c r="W144" s="758"/>
      <c r="X144" s="758"/>
      <c r="Y144" s="909"/>
      <c r="Z144" s="761"/>
      <c r="AA144" s="764"/>
      <c r="AB144" s="761"/>
      <c r="AC144" s="761"/>
      <c r="AD144" s="761"/>
    </row>
    <row r="145" spans="1:30" ht="9" customHeight="1">
      <c r="A145" s="760"/>
      <c r="B145" s="760"/>
      <c r="C145" s="758"/>
      <c r="D145" s="758"/>
      <c r="E145" s="758"/>
      <c r="F145" s="758"/>
      <c r="G145" s="758"/>
      <c r="H145" s="805"/>
      <c r="I145" s="805"/>
      <c r="J145" s="805"/>
      <c r="K145" s="805"/>
      <c r="L145" s="805"/>
      <c r="M145" s="758"/>
      <c r="N145" s="804"/>
      <c r="O145" s="758"/>
      <c r="P145" s="758"/>
      <c r="Q145" s="758"/>
      <c r="R145" s="758"/>
      <c r="S145" s="758"/>
      <c r="T145" s="758"/>
      <c r="U145" s="758"/>
      <c r="V145" s="758"/>
      <c r="W145" s="758"/>
      <c r="X145" s="758"/>
      <c r="Y145" s="909"/>
      <c r="Z145" s="761"/>
      <c r="AA145" s="764"/>
      <c r="AB145" s="761"/>
      <c r="AC145" s="761"/>
      <c r="AD145" s="761"/>
    </row>
    <row r="146" spans="1:30" ht="9" customHeight="1">
      <c r="A146" s="760"/>
      <c r="B146" s="760"/>
      <c r="C146" s="758"/>
      <c r="D146" s="758"/>
      <c r="E146" s="758"/>
      <c r="F146" s="758"/>
      <c r="G146" s="758"/>
      <c r="H146" s="805"/>
      <c r="I146" s="805"/>
      <c r="J146" s="805"/>
      <c r="K146" s="805"/>
      <c r="L146" s="805"/>
      <c r="M146" s="758"/>
      <c r="N146" s="804"/>
      <c r="O146" s="758"/>
      <c r="P146" s="758"/>
      <c r="Q146" s="758"/>
      <c r="R146" s="758"/>
      <c r="S146" s="758"/>
      <c r="T146" s="758"/>
      <c r="U146" s="758"/>
      <c r="V146" s="758"/>
      <c r="W146" s="758"/>
      <c r="X146" s="758"/>
      <c r="Y146" s="909"/>
      <c r="Z146" s="761"/>
      <c r="AA146" s="764"/>
      <c r="AB146" s="761"/>
      <c r="AC146" s="761"/>
      <c r="AD146" s="761"/>
    </row>
    <row r="147" spans="1:30" ht="9" customHeight="1">
      <c r="A147" s="760"/>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row>
    <row r="148" spans="1:30" ht="90" customHeight="1">
      <c r="A148" s="760" t="s">
        <v>1793</v>
      </c>
      <c r="B148" s="760"/>
      <c r="C148" s="758" t="s">
        <v>2265</v>
      </c>
      <c r="D148" s="758" t="s">
        <v>1698</v>
      </c>
      <c r="E148" s="758" t="s">
        <v>1795</v>
      </c>
      <c r="F148" s="758" t="s">
        <v>2266</v>
      </c>
      <c r="G148" s="758"/>
      <c r="H148" s="758"/>
      <c r="I148" s="873"/>
      <c r="J148" s="873"/>
      <c r="K148" s="873"/>
      <c r="L148" s="873"/>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3"/>
      <c r="O148" s="758"/>
      <c r="P148" s="759"/>
      <c r="Q148" s="759"/>
      <c r="R148" s="759"/>
      <c r="S148" s="758"/>
      <c r="T148" s="758" t="s">
        <v>2267</v>
      </c>
      <c r="U148" s="75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59"/>
      <c r="W148" s="759"/>
      <c r="X148" s="758" t="s">
        <v>2268</v>
      </c>
      <c r="Y148" s="909"/>
      <c r="Z148" s="761"/>
      <c r="AA148" s="764"/>
      <c r="AB148" s="761"/>
      <c r="AC148" s="761"/>
      <c r="AD148" s="761"/>
    </row>
    <row r="149" spans="1:30" ht="9" customHeight="1">
      <c r="A149" s="760"/>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row>
    <row r="150" spans="1:30" ht="9" customHeight="1">
      <c r="A150" s="760" t="s">
        <v>1797</v>
      </c>
      <c r="B150" s="760"/>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909"/>
      <c r="Z150" s="761"/>
      <c r="AA150" s="764"/>
      <c r="AB150" s="761"/>
      <c r="AC150" s="761"/>
      <c r="AD150" s="761"/>
    </row>
    <row r="151" spans="1:30" ht="9" customHeight="1">
      <c r="A151" s="760"/>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row>
    <row r="152" spans="1:30" ht="9" customHeight="1">
      <c r="A152" s="760" t="s">
        <v>1800</v>
      </c>
      <c r="B152" s="760"/>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909"/>
      <c r="Z152" s="761"/>
      <c r="AA152" s="764"/>
      <c r="AB152" s="761"/>
      <c r="AC152" s="761"/>
      <c r="AD152" s="761"/>
    </row>
    <row r="153" spans="1:30" ht="9" customHeight="1">
      <c r="A153" s="760"/>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row>
    <row r="154" spans="1:30" ht="9" customHeight="1">
      <c r="A154" s="760" t="s">
        <v>1805</v>
      </c>
      <c r="B154" s="760"/>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909"/>
      <c r="Z154" s="761"/>
      <c r="AA154" s="764"/>
      <c r="AB154" s="761"/>
      <c r="AC154" s="761"/>
      <c r="AD154" s="76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I4" workbookViewId="0"/>
  </sheetViews>
  <sheetFormatPr defaultColWidth="10.5703125" defaultRowHeight="14.25" customHeight="1"/>
  <cols>
    <col min="1" max="1" width="10.5703125" style="1835" hidden="1"/>
    <col min="2" max="2" width="11" style="1835" hidden="1" customWidth="1"/>
    <col min="3" max="3" width="10.5703125" style="1835" hidden="1"/>
    <col min="4" max="4" width="11.85546875" style="1835" hidden="1" customWidth="1"/>
    <col min="5" max="5" width="12.28515625" style="1835" hidden="1" customWidth="1"/>
    <col min="6" max="8" width="12.28515625" style="1948" hidden="1" customWidth="1"/>
    <col min="9" max="9" width="3.7109375" style="4569" customWidth="1"/>
    <col min="10" max="11" width="3.7109375" style="1954" customWidth="1"/>
    <col min="12" max="12" width="12.7109375" style="1955" customWidth="1"/>
    <col min="13" max="13" width="32" style="1921" customWidth="1"/>
    <col min="14" max="14" width="1.7109375" style="1921" customWidth="1"/>
    <col min="15" max="18" width="24.7109375" style="1921" customWidth="1"/>
    <col min="19" max="19" width="11.7109375" style="1921" customWidth="1"/>
    <col min="20" max="20" width="3.7109375" style="1921" customWidth="1"/>
    <col min="21" max="21" width="11.7109375" style="1921" customWidth="1"/>
    <col min="22" max="22" width="8.5703125" style="1921" customWidth="1"/>
    <col min="23" max="23" width="4.7109375" style="1921" customWidth="1"/>
    <col min="24" max="24" width="115.7109375" style="1921" customWidth="1"/>
    <col min="25" max="26" width="10.5703125" style="1821"/>
    <col min="27" max="27" width="11.140625" style="1821" customWidth="1"/>
    <col min="28" max="29" width="10.5703125" style="1821"/>
  </cols>
  <sheetData>
    <row r="1" spans="1:29" ht="14.25" hidden="1" customHeight="1">
      <c r="R1" s="254"/>
      <c r="S1" s="254"/>
    </row>
    <row r="2" spans="1:29" ht="14.25" hidden="1" customHeight="1">
      <c r="V2" s="254"/>
    </row>
    <row r="3" spans="1:29" ht="14.25" hidden="1" customHeight="1"/>
    <row r="4" spans="1:29" ht="14.25" customHeight="1">
      <c r="J4" s="306"/>
      <c r="K4" s="306"/>
      <c r="L4" s="1196"/>
      <c r="M4" s="291"/>
      <c r="N4" s="291"/>
      <c r="O4" s="436"/>
      <c r="P4" s="436"/>
      <c r="Q4" s="436"/>
      <c r="R4" s="436"/>
      <c r="S4" s="436"/>
      <c r="T4" s="436"/>
      <c r="U4" s="436"/>
      <c r="V4" s="436"/>
    </row>
    <row r="5" spans="1:29" ht="64.5" customHeight="1">
      <c r="J5" s="306"/>
      <c r="K5" s="306"/>
      <c r="L5" s="5010" t="s">
        <v>2269</v>
      </c>
      <c r="M5" s="5010"/>
      <c r="N5" s="5010"/>
      <c r="O5" s="5010"/>
      <c r="P5" s="5010"/>
      <c r="Q5" s="5010"/>
      <c r="R5" s="5010"/>
      <c r="S5" s="5010"/>
      <c r="T5" s="5010"/>
      <c r="U5" s="5010"/>
      <c r="V5" s="1153"/>
    </row>
    <row r="6" spans="1:29" ht="14.25" customHeight="1">
      <c r="J6" s="306"/>
      <c r="K6" s="306"/>
      <c r="L6" s="5011" t="str">
        <f>IF(org=0,"Не определено",org)</f>
        <v>ОГКП "Ульяновский областной водоканал"</v>
      </c>
      <c r="M6" s="5011"/>
      <c r="N6" s="5011"/>
      <c r="O6" s="5011"/>
      <c r="P6" s="5011"/>
      <c r="Q6" s="5011"/>
      <c r="R6" s="5011"/>
      <c r="S6" s="5011"/>
      <c r="T6" s="5011"/>
      <c r="U6" s="5011"/>
      <c r="V6" s="1153"/>
    </row>
    <row r="7" spans="1:29" ht="14.25" customHeight="1">
      <c r="J7" s="306"/>
      <c r="K7" s="306"/>
      <c r="L7" s="1196"/>
      <c r="M7" s="291"/>
      <c r="N7" s="291"/>
      <c r="O7" s="247"/>
      <c r="P7" s="247"/>
      <c r="Q7" s="247"/>
      <c r="R7" s="247"/>
      <c r="S7" s="247"/>
      <c r="T7" s="247"/>
      <c r="U7" s="247"/>
      <c r="V7" s="247"/>
      <c r="W7" s="436"/>
    </row>
    <row r="8" spans="1:29" s="1951" customFormat="1" ht="45" customHeight="1">
      <c r="A8" s="1285"/>
      <c r="B8" s="1285"/>
      <c r="C8" s="1285"/>
      <c r="D8" s="1285"/>
      <c r="E8" s="1285"/>
      <c r="F8" s="1285"/>
      <c r="G8" s="1285"/>
      <c r="H8" s="1285"/>
      <c r="L8" s="1197"/>
      <c r="M8" s="214" t="s">
        <v>38</v>
      </c>
      <c r="N8" s="223"/>
      <c r="O8" s="4752" t="str">
        <f>IF(TITLE_NAME_OR_PR_CHANGE="",IF(TITLE_NAME_OR_PR="","",TITLE_NAME_OR_PR),TITLE_NAME_OR_PR_CHANGE)</f>
        <v>Агентство по регулированию цен и тарифов Ульяновской области</v>
      </c>
      <c r="P8" s="4752"/>
      <c r="Q8" s="4752"/>
      <c r="R8" s="4752"/>
      <c r="S8" s="4752"/>
      <c r="T8" s="4752"/>
      <c r="U8" s="4752"/>
      <c r="V8" s="253"/>
      <c r="W8" s="253"/>
      <c r="X8" s="200"/>
      <c r="Y8" s="297"/>
      <c r="Z8" s="297"/>
      <c r="AA8" s="297"/>
      <c r="AB8" s="297"/>
      <c r="AC8" s="297"/>
    </row>
    <row r="9" spans="1:29" s="1951" customFormat="1" ht="22.5" customHeight="1">
      <c r="A9" s="1285"/>
      <c r="B9" s="1285"/>
      <c r="C9" s="1285"/>
      <c r="D9" s="1285"/>
      <c r="E9" s="1285"/>
      <c r="F9" s="1285"/>
      <c r="G9" s="1285"/>
      <c r="H9" s="1285"/>
      <c r="L9" s="1197"/>
      <c r="M9" s="214" t="s">
        <v>562</v>
      </c>
      <c r="N9" s="223"/>
      <c r="O9" s="4752">
        <f>IF(TITLE_DATE_CHANGE_PERIOD="",IF(TITLE_DATE_PR="","",TITLE_DATE_PR),TITLE_DATE_CHANGE_PERIOD)</f>
        <v>45279.639965277776</v>
      </c>
      <c r="P9" s="4752"/>
      <c r="Q9" s="4752"/>
      <c r="R9" s="4752"/>
      <c r="S9" s="4752"/>
      <c r="T9" s="4752"/>
      <c r="U9" s="4752"/>
      <c r="V9" s="253"/>
      <c r="W9" s="253"/>
      <c r="X9" s="200"/>
      <c r="Y9" s="297"/>
      <c r="Z9" s="297"/>
      <c r="AA9" s="297"/>
      <c r="AB9" s="297"/>
      <c r="AC9" s="297"/>
    </row>
    <row r="10" spans="1:29" s="1951" customFormat="1" ht="22.5" customHeight="1">
      <c r="A10" s="1285"/>
      <c r="B10" s="1285"/>
      <c r="C10" s="1285"/>
      <c r="D10" s="1285"/>
      <c r="E10" s="1285"/>
      <c r="F10" s="1285"/>
      <c r="G10" s="1285"/>
      <c r="H10" s="1285"/>
      <c r="L10" s="1161"/>
      <c r="M10" s="214" t="s">
        <v>563</v>
      </c>
      <c r="N10" s="223"/>
      <c r="O10" s="4752" t="str">
        <f>IF(TITLE_NUMBER_PR_CHANGE="",IF(TITLE_NUMBER_PR="","",TITLE_NUMBER_PR),TITLE_NUMBER_PR_CHANGE)</f>
        <v>233-П</v>
      </c>
      <c r="P10" s="4752"/>
      <c r="Q10" s="4752"/>
      <c r="R10" s="4752"/>
      <c r="S10" s="4752"/>
      <c r="T10" s="4752"/>
      <c r="U10" s="4752"/>
      <c r="V10" s="253"/>
      <c r="W10" s="253"/>
      <c r="X10" s="200"/>
      <c r="Y10" s="297"/>
      <c r="Z10" s="297"/>
      <c r="AA10" s="297"/>
      <c r="AB10" s="297"/>
      <c r="AC10" s="297"/>
    </row>
    <row r="11" spans="1:29" s="1951" customFormat="1" ht="22.5" customHeight="1">
      <c r="A11" s="1285"/>
      <c r="B11" s="1285"/>
      <c r="C11" s="1285"/>
      <c r="D11" s="1285"/>
      <c r="E11" s="1285"/>
      <c r="F11" s="1285"/>
      <c r="G11" s="1285"/>
      <c r="H11" s="1285"/>
      <c r="L11" s="1161"/>
      <c r="M11" s="214" t="s">
        <v>40</v>
      </c>
      <c r="N11" s="223"/>
      <c r="O11" s="4752" t="str">
        <f>IF(TITLE_IST_PUB_CHANGE="",IF(TITLE_IST_PUB="","",TITLE_IST_PUB),TITLE_IST_PUB_CHANGE)</f>
        <v>сайт Агентства по регулированию цен и тарифов Ульяновской области</v>
      </c>
      <c r="P11" s="4752"/>
      <c r="Q11" s="4752"/>
      <c r="R11" s="4752"/>
      <c r="S11" s="4752"/>
      <c r="T11" s="4752"/>
      <c r="U11" s="4752"/>
      <c r="V11" s="253"/>
      <c r="W11" s="253"/>
      <c r="X11" s="200"/>
      <c r="Y11" s="297"/>
      <c r="Z11" s="297"/>
      <c r="AA11" s="297"/>
      <c r="AB11" s="297"/>
      <c r="AC11" s="297"/>
    </row>
    <row r="12" spans="1:29" s="1951" customFormat="1" ht="11.25" hidden="1" customHeight="1">
      <c r="A12" s="1285"/>
      <c r="B12" s="1285"/>
      <c r="C12" s="1285"/>
      <c r="D12" s="1285"/>
      <c r="E12" s="1285"/>
      <c r="F12" s="1285"/>
      <c r="G12" s="1285"/>
      <c r="H12" s="1285"/>
      <c r="L12" s="5012"/>
      <c r="M12" s="5012"/>
      <c r="N12" s="1207"/>
      <c r="O12" s="253"/>
      <c r="P12" s="253"/>
      <c r="Q12" s="253"/>
      <c r="R12" s="253"/>
      <c r="S12" s="253"/>
      <c r="T12" s="253"/>
      <c r="U12" s="253"/>
      <c r="V12" s="198" t="s">
        <v>566</v>
      </c>
      <c r="Y12" s="297"/>
      <c r="Z12" s="297"/>
      <c r="AA12" s="297"/>
      <c r="AB12" s="297"/>
      <c r="AC12" s="297"/>
    </row>
    <row r="13" spans="1:29" ht="14.25" customHeight="1">
      <c r="J13" s="306"/>
      <c r="K13" s="306"/>
      <c r="L13" s="1196"/>
      <c r="M13" s="291"/>
      <c r="N13" s="1154"/>
      <c r="O13" s="4753"/>
      <c r="P13" s="4753"/>
      <c r="Q13" s="4753"/>
      <c r="R13" s="4753"/>
      <c r="S13" s="4753"/>
      <c r="T13" s="4753"/>
      <c r="U13" s="4753"/>
      <c r="V13" s="4753"/>
    </row>
    <row r="14" spans="1:29" ht="14.25" customHeight="1">
      <c r="J14" s="306"/>
      <c r="K14" s="306"/>
      <c r="L14" s="4627" t="s">
        <v>439</v>
      </c>
      <c r="M14" s="4627"/>
      <c r="N14" s="4627"/>
      <c r="O14" s="4627"/>
      <c r="P14" s="4627"/>
      <c r="Q14" s="4627"/>
      <c r="R14" s="4627"/>
      <c r="S14" s="4627"/>
      <c r="T14" s="4627"/>
      <c r="U14" s="4627"/>
      <c r="V14" s="4627"/>
      <c r="W14" s="4627"/>
      <c r="X14" s="4627" t="s">
        <v>440</v>
      </c>
    </row>
    <row r="15" spans="1:29" ht="14.25" customHeight="1">
      <c r="J15" s="306"/>
      <c r="K15" s="306"/>
      <c r="L15" s="4767" t="s">
        <v>86</v>
      </c>
      <c r="M15" s="4719" t="s">
        <v>567</v>
      </c>
      <c r="N15" s="220"/>
      <c r="O15" s="4768" t="s">
        <v>2270</v>
      </c>
      <c r="P15" s="4769"/>
      <c r="Q15" s="4769"/>
      <c r="R15" s="4769"/>
      <c r="S15" s="4769"/>
      <c r="T15" s="4769"/>
      <c r="U15" s="4770"/>
      <c r="V15" s="4771" t="s">
        <v>569</v>
      </c>
      <c r="W15" s="4774" t="s">
        <v>1195</v>
      </c>
      <c r="X15" s="4627"/>
    </row>
    <row r="16" spans="1:29" ht="33.75" customHeight="1">
      <c r="J16" s="306"/>
      <c r="K16" s="306"/>
      <c r="L16" s="4767"/>
      <c r="M16" s="4719"/>
      <c r="N16" s="939"/>
      <c r="O16" s="4689" t="s">
        <v>572</v>
      </c>
      <c r="P16" s="4689" t="s">
        <v>573</v>
      </c>
      <c r="Q16" s="4598" t="s">
        <v>574</v>
      </c>
      <c r="R16" s="4597"/>
      <c r="S16" s="4598" t="s">
        <v>587</v>
      </c>
      <c r="T16" s="4604"/>
      <c r="U16" s="4597"/>
      <c r="V16" s="4772"/>
      <c r="W16" s="4775"/>
      <c r="X16" s="4627"/>
    </row>
    <row r="17" spans="1:29" ht="33.75" customHeight="1">
      <c r="A17" s="1287" t="s">
        <v>196</v>
      </c>
      <c r="B17" s="1287" t="s">
        <v>197</v>
      </c>
      <c r="C17" s="1287" t="s">
        <v>198</v>
      </c>
      <c r="D17" s="1287" t="s">
        <v>199</v>
      </c>
      <c r="E17" s="1287"/>
      <c r="J17" s="306"/>
      <c r="K17" s="306"/>
      <c r="L17" s="4767"/>
      <c r="M17" s="4719"/>
      <c r="N17" s="221"/>
      <c r="O17" s="4738"/>
      <c r="P17" s="4738"/>
      <c r="Q17" s="1129" t="s">
        <v>583</v>
      </c>
      <c r="R17" s="1129" t="s">
        <v>584</v>
      </c>
      <c r="S17" s="1212" t="s">
        <v>585</v>
      </c>
      <c r="T17" s="4727" t="s">
        <v>586</v>
      </c>
      <c r="U17" s="4729"/>
      <c r="V17" s="4773"/>
      <c r="W17" s="4776"/>
      <c r="X17" s="4627"/>
    </row>
    <row r="18" spans="1:29" s="1820" customFormat="1" ht="11.25" customHeight="1">
      <c r="A18" s="1287"/>
      <c r="B18" s="1287"/>
      <c r="C18" s="1287"/>
      <c r="D18" s="1287"/>
      <c r="E18" s="1287"/>
      <c r="F18" s="1279"/>
      <c r="G18" s="1279"/>
      <c r="H18" s="1279"/>
      <c r="I18" s="1156"/>
      <c r="J18" s="1157"/>
      <c r="K18" s="1172">
        <v>1</v>
      </c>
      <c r="L18" s="1198" t="s">
        <v>174</v>
      </c>
      <c r="M18" s="1173" t="s">
        <v>101</v>
      </c>
      <c r="N18" s="1155" t="str">
        <f ca="1">OFFSET(N18,0,-1)</f>
        <v>2</v>
      </c>
      <c r="O18" s="1209">
        <f ca="1">OFFSET(O18,0,-1)+1</f>
        <v>3</v>
      </c>
      <c r="P18" s="1209"/>
      <c r="Q18" s="1209">
        <f ca="1">OFFSET(Q18,0,-1)+1</f>
        <v>1</v>
      </c>
      <c r="R18" s="1209">
        <f ca="1">OFFSET(R18,0,-1)+1</f>
        <v>2</v>
      </c>
      <c r="S18" s="1209">
        <f ca="1">OFFSET(S18,0,-1)+1</f>
        <v>3</v>
      </c>
      <c r="T18" s="4766">
        <f ca="1">OFFSET(T18,0,-1)+1</f>
        <v>4</v>
      </c>
      <c r="U18" s="4766"/>
      <c r="V18" s="1209">
        <f ca="1">OFFSET(V18,0,-2)+1</f>
        <v>5</v>
      </c>
      <c r="W18" s="1155">
        <f ca="1">OFFSET(W18,0,-1)</f>
        <v>5</v>
      </c>
      <c r="X18" s="1209">
        <f ca="1">OFFSET(X18,0,-1)+1</f>
        <v>6</v>
      </c>
      <c r="Y18" s="438"/>
      <c r="Z18" s="438"/>
      <c r="AA18" s="438"/>
      <c r="AB18" s="438"/>
      <c r="AC18" s="438"/>
    </row>
    <row r="19" spans="1:29" ht="21" customHeight="1">
      <c r="A19" s="1280" t="s">
        <v>227</v>
      </c>
      <c r="B19" s="1280" t="s">
        <v>228</v>
      </c>
      <c r="C19" s="1280" t="s">
        <v>229</v>
      </c>
      <c r="D19" s="1280" t="s">
        <v>230</v>
      </c>
      <c r="E19" s="1280"/>
      <c r="F19" s="1282"/>
      <c r="G19" s="1282"/>
      <c r="H19" s="1282"/>
      <c r="I19" s="287"/>
      <c r="J19" s="286"/>
      <c r="K19" s="281"/>
      <c r="L19" s="1213">
        <f>INDEX(PT_DIFFERENTIATION_NUM_NTAR,MATCH(A19,PT_DIFFERENTIATION_NTAR_ID,0))</f>
        <v>0</v>
      </c>
      <c r="M19" s="217" t="s">
        <v>185</v>
      </c>
      <c r="N19" s="219"/>
      <c r="O19" s="5013" t="str">
        <f>INDEX(PT_DIFFERENTIATION_NTAR,MATCH(A19,PT_DIFFERENTIATION_NTAR_ID,0))</f>
        <v/>
      </c>
      <c r="P19" s="5013"/>
      <c r="Q19" s="5013"/>
      <c r="R19" s="5013"/>
      <c r="S19" s="5013"/>
      <c r="T19" s="5013"/>
      <c r="U19" s="5013"/>
      <c r="V19" s="5013"/>
      <c r="W19" s="5013"/>
      <c r="X19" s="1178" t="s">
        <v>537</v>
      </c>
      <c r="Z19" s="427"/>
      <c r="AA19" s="427" t="str">
        <f t="shared" ref="AA19:AA32" si="0">IF(M19="","",M19)</f>
        <v>Наименование тарифа</v>
      </c>
      <c r="AB19" s="427"/>
      <c r="AC19" s="427"/>
    </row>
    <row r="20" spans="1:29" ht="21" customHeight="1">
      <c r="A20" s="1280" t="s">
        <v>227</v>
      </c>
      <c r="B20" s="1280" t="s">
        <v>228</v>
      </c>
      <c r="C20" s="1280" t="s">
        <v>229</v>
      </c>
      <c r="D20" s="1280" t="s">
        <v>230</v>
      </c>
      <c r="E20" s="1280"/>
      <c r="F20" s="1282"/>
      <c r="G20" s="1282"/>
      <c r="H20" s="1282"/>
      <c r="I20" s="1210"/>
      <c r="J20" s="278"/>
      <c r="K20" s="279"/>
      <c r="L20" s="1213" t="str">
        <f>INDEX(PT_DIFFERENTIATION_NUM_TER,MATCH(B19,PT_DIFFERENTIATION_TER_ID,0))</f>
        <v>.</v>
      </c>
      <c r="M20" s="229" t="s">
        <v>538</v>
      </c>
      <c r="N20" s="219"/>
      <c r="O20" s="5013" t="str">
        <f>INDEX(PT_DIFFERENTIATION_TER,MATCH(B19,PT_DIFFERENTIATION_TER_ID,0))</f>
        <v/>
      </c>
      <c r="P20" s="5013"/>
      <c r="Q20" s="5013"/>
      <c r="R20" s="5013"/>
      <c r="S20" s="5013"/>
      <c r="T20" s="5013"/>
      <c r="U20" s="5013"/>
      <c r="V20" s="5013"/>
      <c r="W20" s="5013"/>
      <c r="X20" s="1178" t="s">
        <v>539</v>
      </c>
      <c r="Z20" s="427"/>
      <c r="AA20" s="427" t="str">
        <f t="shared" si="0"/>
        <v>Территория действия тарифа</v>
      </c>
      <c r="AB20" s="427"/>
      <c r="AC20" s="427"/>
    </row>
    <row r="21" spans="1:29" ht="22.5" customHeight="1">
      <c r="A21" s="1280" t="s">
        <v>227</v>
      </c>
      <c r="B21" s="1280" t="s">
        <v>228</v>
      </c>
      <c r="C21" s="1280" t="s">
        <v>229</v>
      </c>
      <c r="D21" s="1280" t="s">
        <v>230</v>
      </c>
      <c r="E21" s="1280"/>
      <c r="F21" s="1282"/>
      <c r="G21" s="1282"/>
      <c r="H21" s="1282"/>
      <c r="I21" s="280"/>
      <c r="J21" s="278"/>
      <c r="K21" s="279"/>
      <c r="L21" s="1213" t="str">
        <f>INDEX(PT_DIFFERENTIATION_NUM_CS,MATCH(C19,PT_DIFFERENTIATION_CS_ID,0))</f>
        <v>..</v>
      </c>
      <c r="M21" s="230" t="s">
        <v>540</v>
      </c>
      <c r="N21" s="219"/>
      <c r="O21" s="5013" t="str">
        <f>INDEX(PT_DIFFERENTIATION_CS,MATCH(C19,PT_DIFFERENTIATION_CS_ID,0))</f>
        <v/>
      </c>
      <c r="P21" s="5013"/>
      <c r="Q21" s="5013"/>
      <c r="R21" s="5013"/>
      <c r="S21" s="5013"/>
      <c r="T21" s="5013"/>
      <c r="U21" s="5013"/>
      <c r="V21" s="5013"/>
      <c r="W21" s="5013"/>
      <c r="X21" s="1178" t="s">
        <v>541</v>
      </c>
      <c r="Z21" s="427"/>
      <c r="AA21" s="427" t="str">
        <f t="shared" si="0"/>
        <v xml:space="preserve">Наименование системы теплоснабжения </v>
      </c>
      <c r="AB21" s="427"/>
      <c r="AC21" s="427"/>
    </row>
    <row r="22" spans="1:29" ht="21" customHeight="1">
      <c r="A22" s="1280" t="s">
        <v>227</v>
      </c>
      <c r="B22" s="1280" t="s">
        <v>228</v>
      </c>
      <c r="C22" s="1280" t="s">
        <v>229</v>
      </c>
      <c r="D22" s="1280" t="s">
        <v>230</v>
      </c>
      <c r="E22" s="1280"/>
      <c r="F22" s="1282"/>
      <c r="G22" s="1282"/>
      <c r="H22" s="1282"/>
      <c r="I22" s="280"/>
      <c r="J22" s="278"/>
      <c r="K22" s="279"/>
      <c r="L22" s="1213" t="str">
        <f>INDEX(PT_DIFFERENTIATION_NUM_IST_TE,MATCH(D19,PT_DIFFERENTIATION_IST_TE_ID,0))</f>
        <v>...</v>
      </c>
      <c r="M22" s="231" t="s">
        <v>542</v>
      </c>
      <c r="N22" s="219"/>
      <c r="O22" s="5013" t="str">
        <f>INDEX(PT_DIFFERENTIATION_IST_TE,MATCH(D19,PT_DIFFERENTIATION_IST_TE_ID,0))</f>
        <v/>
      </c>
      <c r="P22" s="5013"/>
      <c r="Q22" s="5013"/>
      <c r="R22" s="5013"/>
      <c r="S22" s="5013"/>
      <c r="T22" s="5013"/>
      <c r="U22" s="5013"/>
      <c r="V22" s="5013"/>
      <c r="W22" s="5013"/>
      <c r="X22" s="1178" t="s">
        <v>543</v>
      </c>
      <c r="Z22" s="427"/>
      <c r="AA22" s="427" t="str">
        <f t="shared" si="0"/>
        <v xml:space="preserve">Источник тепловой энергии  </v>
      </c>
      <c r="AB22" s="427"/>
      <c r="AC22" s="427"/>
    </row>
    <row r="23" spans="1:29" ht="94.5" customHeight="1">
      <c r="A23" s="1280" t="s">
        <v>227</v>
      </c>
      <c r="B23" s="1280" t="s">
        <v>228</v>
      </c>
      <c r="C23" s="1280" t="s">
        <v>229</v>
      </c>
      <c r="D23" s="1280" t="s">
        <v>230</v>
      </c>
      <c r="E23" s="1280"/>
      <c r="F23" s="4602" t="str">
        <f>L22&amp;".1"</f>
        <v>....1</v>
      </c>
      <c r="I23" s="4758">
        <v>1</v>
      </c>
      <c r="J23" s="1211"/>
      <c r="K23" s="282"/>
      <c r="L23" s="1213" t="str">
        <f>$F$23</f>
        <v>....1</v>
      </c>
      <c r="M23" s="204" t="s">
        <v>545</v>
      </c>
      <c r="N23" s="219"/>
      <c r="O23" s="5014"/>
      <c r="P23" s="5014"/>
      <c r="Q23" s="5014"/>
      <c r="R23" s="5014"/>
      <c r="S23" s="5014"/>
      <c r="T23" s="5014"/>
      <c r="U23" s="5014"/>
      <c r="V23" s="5014"/>
      <c r="W23" s="5014"/>
      <c r="X23" s="1178" t="s">
        <v>546</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0" t="s">
        <v>227</v>
      </c>
      <c r="B24" s="1280" t="s">
        <v>228</v>
      </c>
      <c r="C24" s="1280" t="s">
        <v>229</v>
      </c>
      <c r="D24" s="1280" t="s">
        <v>230</v>
      </c>
      <c r="E24" s="1280"/>
      <c r="F24" s="4602"/>
      <c r="G24" s="4602" t="str">
        <f>F23&amp;".1"</f>
        <v>....1.1</v>
      </c>
      <c r="I24" s="4758"/>
      <c r="J24" s="4758">
        <v>1</v>
      </c>
      <c r="K24" s="283"/>
      <c r="L24" s="1213" t="str">
        <f>$G$24</f>
        <v>....1.1</v>
      </c>
      <c r="M24" s="205" t="s">
        <v>548</v>
      </c>
      <c r="N24" s="219"/>
      <c r="O24" s="5015"/>
      <c r="P24" s="5016"/>
      <c r="Q24" s="5016"/>
      <c r="R24" s="5016"/>
      <c r="S24" s="5016"/>
      <c r="T24" s="5016"/>
      <c r="U24" s="5016"/>
      <c r="V24" s="5016"/>
      <c r="W24" s="5017"/>
      <c r="X24" s="1178" t="s">
        <v>549</v>
      </c>
      <c r="Z24" s="427"/>
      <c r="AA24" s="427" t="str">
        <f t="shared" si="0"/>
        <v>Группа потребителей</v>
      </c>
      <c r="AB24" s="427"/>
      <c r="AC24" s="427"/>
    </row>
    <row r="25" spans="1:29" ht="11.25" customHeight="1">
      <c r="A25" s="1280" t="s">
        <v>227</v>
      </c>
      <c r="B25" s="1280" t="s">
        <v>228</v>
      </c>
      <c r="C25" s="1280" t="s">
        <v>229</v>
      </c>
      <c r="D25" s="1280" t="s">
        <v>230</v>
      </c>
      <c r="E25" s="1280"/>
      <c r="F25" s="4602"/>
      <c r="G25" s="4602"/>
      <c r="H25" s="4602" t="str">
        <f>G24&amp;".1"</f>
        <v>....1.1.1</v>
      </c>
      <c r="I25" s="4758"/>
      <c r="J25" s="4758"/>
      <c r="K25" s="283">
        <v>1</v>
      </c>
      <c r="L25" s="1213" t="str">
        <f>$H$25</f>
        <v>....1.1.1</v>
      </c>
      <c r="M25" s="1179"/>
      <c r="N25" s="219"/>
      <c r="O25" s="669"/>
      <c r="P25" s="251"/>
      <c r="Q25" s="669"/>
      <c r="R25" s="1177"/>
      <c r="S25" s="4762"/>
      <c r="T25" s="4608" t="s">
        <v>65</v>
      </c>
      <c r="U25" s="4762"/>
      <c r="V25" s="4608" t="s">
        <v>55</v>
      </c>
      <c r="W25" s="251"/>
      <c r="X25" s="4754" t="s">
        <v>551</v>
      </c>
      <c r="Y25" s="438" t="e">
        <f ca="1">STRCHECKDATE(O26:W26)</f>
        <v>#NAME?</v>
      </c>
      <c r="Z25" s="427"/>
      <c r="AA25" s="427" t="str">
        <f t="shared" si="0"/>
        <v/>
      </c>
      <c r="AB25" s="427"/>
      <c r="AC25" s="427"/>
    </row>
    <row r="26" spans="1:29" ht="11.25" customHeight="1">
      <c r="A26" s="1280" t="s">
        <v>227</v>
      </c>
      <c r="B26" s="1280" t="s">
        <v>228</v>
      </c>
      <c r="C26" s="1280" t="s">
        <v>229</v>
      </c>
      <c r="D26" s="1280" t="s">
        <v>230</v>
      </c>
      <c r="E26" s="1280"/>
      <c r="F26" s="4602"/>
      <c r="G26" s="4602"/>
      <c r="H26" s="4602"/>
      <c r="I26" s="4758"/>
      <c r="J26" s="4758"/>
      <c r="K26" s="283"/>
      <c r="L26" s="1214"/>
      <c r="M26" s="219"/>
      <c r="N26" s="219"/>
      <c r="O26" s="251"/>
      <c r="P26" s="251"/>
      <c r="Q26" s="251"/>
      <c r="R26" s="255" t="str">
        <f>S25&amp;"-"&amp;U25</f>
        <v>-</v>
      </c>
      <c r="S26" s="4763"/>
      <c r="T26" s="4608"/>
      <c r="U26" s="4763"/>
      <c r="V26" s="4608"/>
      <c r="W26" s="251"/>
      <c r="X26" s="4755"/>
      <c r="Z26" s="427"/>
      <c r="AA26" s="427" t="str">
        <f t="shared" si="0"/>
        <v/>
      </c>
      <c r="AB26" s="427"/>
      <c r="AC26" s="427"/>
    </row>
    <row r="27" spans="1:29" ht="15" customHeight="1">
      <c r="A27" s="1280" t="s">
        <v>227</v>
      </c>
      <c r="B27" s="1280" t="s">
        <v>228</v>
      </c>
      <c r="C27" s="1280" t="s">
        <v>229</v>
      </c>
      <c r="D27" s="1280" t="s">
        <v>230</v>
      </c>
      <c r="E27" s="1280"/>
      <c r="F27" s="4602"/>
      <c r="G27" s="4602"/>
      <c r="I27" s="4758"/>
      <c r="J27" s="4758"/>
      <c r="K27" s="282"/>
      <c r="L27" s="1199"/>
      <c r="M27" s="207" t="s">
        <v>552</v>
      </c>
      <c r="N27" s="296"/>
      <c r="O27" s="296"/>
      <c r="P27" s="296"/>
      <c r="Q27" s="296"/>
      <c r="R27" s="296"/>
      <c r="S27" s="296"/>
      <c r="T27" s="296"/>
      <c r="U27" s="296"/>
      <c r="V27" s="296"/>
      <c r="W27" s="250"/>
      <c r="X27" s="4756"/>
      <c r="Z27" s="427"/>
      <c r="AA27" s="427" t="str">
        <f t="shared" si="0"/>
        <v>Добавить вид теплоносителя (параметры теплоносителя)</v>
      </c>
      <c r="AB27" s="427"/>
      <c r="AC27" s="427"/>
    </row>
    <row r="28" spans="1:29" ht="15" customHeight="1">
      <c r="A28" s="1280" t="s">
        <v>227</v>
      </c>
      <c r="B28" s="1280" t="s">
        <v>228</v>
      </c>
      <c r="C28" s="1280" t="s">
        <v>229</v>
      </c>
      <c r="D28" s="1280" t="s">
        <v>230</v>
      </c>
      <c r="E28" s="1280"/>
      <c r="F28" s="4602"/>
      <c r="I28" s="4758"/>
      <c r="J28" s="1211"/>
      <c r="K28" s="282"/>
      <c r="L28" s="1199"/>
      <c r="M28" s="206" t="s">
        <v>553</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0" t="s">
        <v>227</v>
      </c>
      <c r="B29" s="1280" t="s">
        <v>228</v>
      </c>
      <c r="C29" s="1280" t="s">
        <v>229</v>
      </c>
      <c r="D29" s="1280" t="s">
        <v>230</v>
      </c>
      <c r="E29" s="1280"/>
      <c r="F29" s="1282"/>
      <c r="G29" s="1282"/>
      <c r="H29" s="463"/>
      <c r="I29" s="286"/>
      <c r="J29" s="305"/>
      <c r="K29" s="281"/>
      <c r="L29" s="1199"/>
      <c r="M29" s="293" t="s">
        <v>554</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0" t="s">
        <v>227</v>
      </c>
      <c r="B30" s="1280" t="s">
        <v>228</v>
      </c>
      <c r="C30" s="1280" t="s">
        <v>229</v>
      </c>
      <c r="D30" s="1280"/>
      <c r="E30" s="1280" t="s">
        <v>721</v>
      </c>
      <c r="F30" s="1282"/>
      <c r="G30" s="1282"/>
      <c r="H30" s="463"/>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280" t="s">
        <v>227</v>
      </c>
      <c r="B31" s="1280" t="s">
        <v>228</v>
      </c>
      <c r="C31" s="1280"/>
      <c r="D31" s="1280"/>
      <c r="E31" s="1280" t="s">
        <v>2271</v>
      </c>
      <c r="F31" s="1428"/>
      <c r="G31" s="1428"/>
      <c r="H31" s="463"/>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280" t="s">
        <v>2272</v>
      </c>
      <c r="B32" s="1280"/>
      <c r="C32" s="1280"/>
      <c r="D32" s="1280"/>
      <c r="E32" s="1280" t="s">
        <v>169</v>
      </c>
      <c r="F32" s="1428"/>
      <c r="G32" s="1428"/>
      <c r="H32" s="463"/>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4548" customFormat="1" ht="11.25" customHeight="1">
      <c r="A33" s="1280"/>
      <c r="B33" s="1280"/>
      <c r="C33" s="1280"/>
      <c r="D33" s="1280"/>
      <c r="E33" s="1280" t="s">
        <v>407</v>
      </c>
      <c r="F33" s="1429"/>
      <c r="G33" s="1430"/>
      <c r="H33" s="463"/>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61"/>
      <c r="G34" s="1061"/>
      <c r="H34" s="463"/>
      <c r="I34" s="1056"/>
      <c r="J34" s="1056"/>
      <c r="K34" s="1056"/>
      <c r="Y34" s="1056"/>
      <c r="Z34" s="1056"/>
      <c r="AA34" s="1056"/>
      <c r="AB34" s="1056"/>
      <c r="AC34" s="1056"/>
    </row>
    <row r="35" spans="1:29" ht="27" customHeight="1">
      <c r="H35" s="463"/>
      <c r="L35" s="1208" t="s">
        <v>853</v>
      </c>
      <c r="M35" s="4779" t="s">
        <v>2273</v>
      </c>
      <c r="N35" s="4779"/>
      <c r="O35" s="4779"/>
      <c r="P35" s="4779"/>
      <c r="Q35" s="4779"/>
      <c r="R35" s="4779"/>
      <c r="S35" s="4779"/>
      <c r="T35" s="4779"/>
      <c r="U35" s="4779"/>
      <c r="V35" s="4779"/>
      <c r="W35" s="4779"/>
      <c r="X35" s="4779"/>
    </row>
    <row r="36" spans="1:29" ht="104.25" customHeight="1">
      <c r="H36" s="463"/>
      <c r="I36" s="1223"/>
      <c r="M36" s="4779" t="s">
        <v>2274</v>
      </c>
      <c r="N36" s="4779"/>
      <c r="O36" s="4779"/>
      <c r="P36" s="4779"/>
      <c r="Q36" s="4779"/>
      <c r="R36" s="4779"/>
      <c r="S36" s="4779"/>
      <c r="T36" s="4779"/>
      <c r="U36" s="4779"/>
      <c r="V36" s="4779"/>
      <c r="W36" s="4779"/>
      <c r="X36" s="4779"/>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1.5703125" style="1921" customWidth="1"/>
    <col min="2" max="2" width="10.7109375" style="1921" customWidth="1"/>
    <col min="3" max="3" width="10" style="1921" customWidth="1"/>
    <col min="4" max="4" width="12.85546875" style="1921" customWidth="1"/>
    <col min="5" max="5" width="12.28515625" style="1921" customWidth="1"/>
    <col min="6" max="8" width="12.28515625" style="4569" customWidth="1"/>
    <col min="9" max="9" width="3.7109375" style="4569" customWidth="1"/>
    <col min="10" max="11" width="3.7109375" style="1954" customWidth="1"/>
    <col min="12" max="12" width="12.7109375" style="1955" customWidth="1"/>
    <col min="13" max="13" width="32" style="1921" customWidth="1"/>
    <col min="14" max="14" width="1.7109375" style="1921" customWidth="1"/>
    <col min="15" max="18" width="24.7109375" style="1921" customWidth="1"/>
    <col min="19" max="19" width="11.7109375" style="1921" customWidth="1"/>
    <col min="20" max="20" width="3.7109375" style="1921" customWidth="1"/>
    <col min="21" max="21" width="11.7109375" style="1921" customWidth="1"/>
    <col min="22" max="22" width="8.5703125" style="1921" customWidth="1"/>
    <col min="23" max="23" width="4.7109375" style="1921" customWidth="1"/>
    <col min="24" max="24" width="115.7109375" style="1921"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5010" t="s">
        <v>2269</v>
      </c>
      <c r="M5" s="5010"/>
      <c r="N5" s="5010"/>
      <c r="O5" s="5010"/>
      <c r="P5" s="5010"/>
      <c r="Q5" s="5010"/>
      <c r="R5" s="5010"/>
      <c r="S5" s="5010"/>
      <c r="T5" s="5010"/>
      <c r="U5" s="5010"/>
      <c r="V5" s="1153"/>
    </row>
    <row r="6" spans="6:29" ht="14.25" customHeight="1">
      <c r="J6" s="306"/>
      <c r="K6" s="306"/>
      <c r="L6" s="5011" t="str">
        <f>IF(org=0,"Не определено",org)</f>
        <v>ОГКП "Ульяновский областной водоканал"</v>
      </c>
      <c r="M6" s="5011"/>
      <c r="N6" s="5011"/>
      <c r="O6" s="5011"/>
      <c r="P6" s="5011"/>
      <c r="Q6" s="5011"/>
      <c r="R6" s="5011"/>
      <c r="S6" s="5011"/>
      <c r="T6" s="5011"/>
      <c r="U6" s="5011"/>
      <c r="V6" s="1153"/>
    </row>
    <row r="7" spans="6:29" ht="14.25" customHeight="1">
      <c r="J7" s="306"/>
      <c r="K7" s="306"/>
      <c r="L7" s="1196"/>
      <c r="M7" s="291"/>
      <c r="N7" s="291"/>
      <c r="O7" s="247"/>
      <c r="P7" s="247"/>
      <c r="Q7" s="247"/>
      <c r="R7" s="247"/>
      <c r="S7" s="247"/>
      <c r="T7" s="247"/>
      <c r="U7" s="247"/>
      <c r="V7" s="247"/>
      <c r="W7" s="436"/>
    </row>
    <row r="8" spans="6:29" s="1951" customFormat="1" ht="45" customHeight="1">
      <c r="F8" s="1159"/>
      <c r="G8" s="1159"/>
      <c r="H8" s="1159"/>
      <c r="L8" s="1197"/>
      <c r="M8" s="214" t="s">
        <v>38</v>
      </c>
      <c r="N8" s="223"/>
      <c r="O8" s="4752" t="str">
        <f>IF(TITLE_NAME_OR_PR_CHANGE="",IF(TITLE_NAME_OR_PR="","",TITLE_NAME_OR_PR),TITLE_NAME_OR_PR_CHANGE)</f>
        <v>Агентство по регулированию цен и тарифов Ульяновской области</v>
      </c>
      <c r="P8" s="4752"/>
      <c r="Q8" s="4752"/>
      <c r="R8" s="4752"/>
      <c r="S8" s="4752"/>
      <c r="T8" s="4752"/>
      <c r="U8" s="4752"/>
      <c r="V8" s="253"/>
      <c r="W8" s="253"/>
      <c r="X8" s="200"/>
      <c r="Y8" s="297"/>
      <c r="Z8" s="297"/>
      <c r="AA8" s="297"/>
      <c r="AB8" s="297"/>
      <c r="AC8" s="297"/>
    </row>
    <row r="9" spans="6:29" s="1951" customFormat="1" ht="22.5" customHeight="1">
      <c r="F9" s="1159"/>
      <c r="G9" s="1159"/>
      <c r="H9" s="1159"/>
      <c r="L9" s="1197"/>
      <c r="M9" s="214" t="s">
        <v>562</v>
      </c>
      <c r="N9" s="223"/>
      <c r="O9" s="4752">
        <f>IF(TITLE_DATE_CHANGE_PERIOD="",IF(TITLE_DATE_PR="","",TITLE_DATE_PR),TITLE_DATE_CHANGE_PERIOD)</f>
        <v>45279.639965277776</v>
      </c>
      <c r="P9" s="4752"/>
      <c r="Q9" s="4752"/>
      <c r="R9" s="4752"/>
      <c r="S9" s="4752"/>
      <c r="T9" s="4752"/>
      <c r="U9" s="4752"/>
      <c r="V9" s="253"/>
      <c r="W9" s="253"/>
      <c r="X9" s="200"/>
      <c r="Y9" s="297"/>
      <c r="Z9" s="297"/>
      <c r="AA9" s="297"/>
      <c r="AB9" s="297"/>
      <c r="AC9" s="297"/>
    </row>
    <row r="10" spans="6:29" s="1951" customFormat="1" ht="22.5" customHeight="1">
      <c r="F10" s="1159"/>
      <c r="G10" s="1159"/>
      <c r="H10" s="1159"/>
      <c r="L10" s="1161"/>
      <c r="M10" s="214" t="s">
        <v>563</v>
      </c>
      <c r="N10" s="223"/>
      <c r="O10" s="4752" t="str">
        <f>IF(TITLE_NUMBER_PR_CHANGE="",IF(TITLE_NUMBER_PR="","",TITLE_NUMBER_PR),TITLE_NUMBER_PR_CHANGE)</f>
        <v>233-П</v>
      </c>
      <c r="P10" s="4752"/>
      <c r="Q10" s="4752"/>
      <c r="R10" s="4752"/>
      <c r="S10" s="4752"/>
      <c r="T10" s="4752"/>
      <c r="U10" s="4752"/>
      <c r="V10" s="253"/>
      <c r="W10" s="253"/>
      <c r="X10" s="200"/>
      <c r="Y10" s="297"/>
      <c r="Z10" s="297"/>
      <c r="AA10" s="297"/>
      <c r="AB10" s="297"/>
      <c r="AC10" s="297"/>
    </row>
    <row r="11" spans="6:29" s="1951" customFormat="1" ht="22.5" customHeight="1">
      <c r="F11" s="1159"/>
      <c r="G11" s="1159"/>
      <c r="H11" s="1159"/>
      <c r="L11" s="1161"/>
      <c r="M11" s="214" t="s">
        <v>40</v>
      </c>
      <c r="N11" s="223"/>
      <c r="O11" s="4752" t="str">
        <f>IF(TITLE_IST_PUB_CHANGE="",IF(TITLE_IST_PUB="","",TITLE_IST_PUB),TITLE_IST_PUB_CHANGE)</f>
        <v>сайт Агентства по регулированию цен и тарифов Ульяновской области</v>
      </c>
      <c r="P11" s="4752"/>
      <c r="Q11" s="4752"/>
      <c r="R11" s="4752"/>
      <c r="S11" s="4752"/>
      <c r="T11" s="4752"/>
      <c r="U11" s="4752"/>
      <c r="V11" s="253"/>
      <c r="W11" s="253"/>
      <c r="X11" s="200"/>
      <c r="Y11" s="297"/>
      <c r="Z11" s="297"/>
      <c r="AA11" s="297"/>
      <c r="AB11" s="297"/>
      <c r="AC11" s="297"/>
    </row>
    <row r="12" spans="6:29" s="1951" customFormat="1" ht="11.25" hidden="1" customHeight="1">
      <c r="F12" s="1159"/>
      <c r="G12" s="1159"/>
      <c r="H12" s="1159"/>
      <c r="L12" s="5012"/>
      <c r="M12" s="5012"/>
      <c r="N12" s="1207"/>
      <c r="O12" s="253"/>
      <c r="P12" s="253"/>
      <c r="Q12" s="253"/>
      <c r="R12" s="253"/>
      <c r="S12" s="253"/>
      <c r="T12" s="253"/>
      <c r="U12" s="253"/>
      <c r="V12" s="198" t="s">
        <v>566</v>
      </c>
      <c r="Y12" s="297"/>
      <c r="Z12" s="297"/>
      <c r="AA12" s="297"/>
      <c r="AB12" s="297"/>
      <c r="AC12" s="297"/>
    </row>
    <row r="13" spans="6:29" ht="14.25" customHeight="1">
      <c r="J13" s="306"/>
      <c r="K13" s="306"/>
      <c r="L13" s="1196"/>
      <c r="M13" s="291"/>
      <c r="N13" s="1154"/>
      <c r="O13" s="4753"/>
      <c r="P13" s="4753"/>
      <c r="Q13" s="4753"/>
      <c r="R13" s="4753"/>
      <c r="S13" s="4753"/>
      <c r="T13" s="4753"/>
      <c r="U13" s="4753"/>
      <c r="V13" s="4753"/>
    </row>
    <row r="14" spans="6:29" ht="14.25" customHeight="1">
      <c r="J14" s="306"/>
      <c r="K14" s="306"/>
      <c r="L14" s="4627" t="s">
        <v>439</v>
      </c>
      <c r="M14" s="4627"/>
      <c r="N14" s="4627"/>
      <c r="O14" s="4627"/>
      <c r="P14" s="4627"/>
      <c r="Q14" s="4627"/>
      <c r="R14" s="4627"/>
      <c r="S14" s="4627"/>
      <c r="T14" s="4627"/>
      <c r="U14" s="4627"/>
      <c r="V14" s="4627"/>
      <c r="W14" s="4627"/>
      <c r="X14" s="4627" t="s">
        <v>440</v>
      </c>
    </row>
    <row r="15" spans="6:29" ht="14.25" customHeight="1">
      <c r="J15" s="306"/>
      <c r="K15" s="306"/>
      <c r="L15" s="4767" t="s">
        <v>86</v>
      </c>
      <c r="M15" s="4719" t="s">
        <v>567</v>
      </c>
      <c r="N15" s="220"/>
      <c r="O15" s="4768" t="s">
        <v>2270</v>
      </c>
      <c r="P15" s="4769"/>
      <c r="Q15" s="4769"/>
      <c r="R15" s="4769"/>
      <c r="S15" s="4769"/>
      <c r="T15" s="4769"/>
      <c r="U15" s="4770"/>
      <c r="V15" s="4771" t="s">
        <v>569</v>
      </c>
      <c r="W15" s="4774" t="s">
        <v>1195</v>
      </c>
      <c r="X15" s="4627"/>
    </row>
    <row r="16" spans="6:29" ht="33.75" customHeight="1">
      <c r="J16" s="306"/>
      <c r="K16" s="306"/>
      <c r="L16" s="4767"/>
      <c r="M16" s="4719"/>
      <c r="N16" s="939"/>
      <c r="O16" s="4689" t="s">
        <v>572</v>
      </c>
      <c r="P16" s="4689" t="s">
        <v>573</v>
      </c>
      <c r="Q16" s="4598" t="s">
        <v>574</v>
      </c>
      <c r="R16" s="4597"/>
      <c r="S16" s="4598" t="s">
        <v>587</v>
      </c>
      <c r="T16" s="4604"/>
      <c r="U16" s="4597"/>
      <c r="V16" s="4772"/>
      <c r="W16" s="4775"/>
      <c r="X16" s="4627"/>
    </row>
    <row r="17" spans="1:29" ht="33.75" customHeight="1">
      <c r="A17" s="1180" t="s">
        <v>196</v>
      </c>
      <c r="B17" s="1180" t="s">
        <v>197</v>
      </c>
      <c r="C17" s="1180" t="s">
        <v>198</v>
      </c>
      <c r="D17" s="1180" t="s">
        <v>199</v>
      </c>
      <c r="E17" s="1180"/>
      <c r="J17" s="306"/>
      <c r="K17" s="306"/>
      <c r="L17" s="4767"/>
      <c r="M17" s="4719"/>
      <c r="N17" s="221"/>
      <c r="O17" s="4738"/>
      <c r="P17" s="4738"/>
      <c r="Q17" s="1129" t="s">
        <v>583</v>
      </c>
      <c r="R17" s="1129" t="s">
        <v>584</v>
      </c>
      <c r="S17" s="1212" t="s">
        <v>585</v>
      </c>
      <c r="T17" s="4727" t="s">
        <v>586</v>
      </c>
      <c r="U17" s="4729"/>
      <c r="V17" s="4773"/>
      <c r="W17" s="4776"/>
      <c r="X17" s="4627"/>
    </row>
    <row r="18" spans="1:29" s="1820" customFormat="1" ht="11.25" customHeight="1">
      <c r="A18" s="1180"/>
      <c r="B18" s="1180"/>
      <c r="C18" s="1180"/>
      <c r="D18" s="1180"/>
      <c r="E18" s="1180"/>
      <c r="F18" s="1206"/>
      <c r="G18" s="1206"/>
      <c r="H18" s="1206"/>
      <c r="I18" s="1156"/>
      <c r="J18" s="1157"/>
      <c r="K18" s="1172">
        <v>1</v>
      </c>
      <c r="L18" s="1198" t="s">
        <v>174</v>
      </c>
      <c r="M18" s="1173" t="s">
        <v>101</v>
      </c>
      <c r="N18" s="1155" t="str">
        <f ca="1">OFFSET(N18,0,-1)</f>
        <v>2</v>
      </c>
      <c r="O18" s="1209">
        <f ca="1">OFFSET(O18,0,-1)+1</f>
        <v>3</v>
      </c>
      <c r="P18" s="1209"/>
      <c r="Q18" s="1209">
        <f ca="1">OFFSET(Q18,0,-1)+1</f>
        <v>1</v>
      </c>
      <c r="R18" s="1209">
        <f ca="1">OFFSET(R18,0,-1)+1</f>
        <v>2</v>
      </c>
      <c r="S18" s="1209">
        <f ca="1">OFFSET(S18,0,-1)+1</f>
        <v>3</v>
      </c>
      <c r="T18" s="4766">
        <f ca="1">OFFSET(T18,0,-1)+1</f>
        <v>4</v>
      </c>
      <c r="U18" s="4766"/>
      <c r="V18" s="1209">
        <f ca="1">OFFSET(V18,0,-2)+1</f>
        <v>5</v>
      </c>
      <c r="W18" s="1155">
        <f ca="1">OFFSET(W18,0,-1)</f>
        <v>5</v>
      </c>
      <c r="X18" s="1209">
        <f ca="1">OFFSET(X18,0,-1)+1</f>
        <v>6</v>
      </c>
      <c r="Y18" s="438"/>
      <c r="Z18" s="438"/>
      <c r="AA18" s="438"/>
      <c r="AB18" s="438"/>
      <c r="AC18" s="438"/>
    </row>
    <row r="19" spans="1:29" ht="21" customHeight="1">
      <c r="A19" s="1187" t="s">
        <v>2275</v>
      </c>
      <c r="B19" s="1187" t="s">
        <v>2276</v>
      </c>
      <c r="C19" s="1187" t="s">
        <v>2277</v>
      </c>
      <c r="D19" s="1187" t="s">
        <v>2278</v>
      </c>
      <c r="E19" s="1187"/>
      <c r="F19" s="609"/>
      <c r="G19" s="609"/>
      <c r="H19" s="609"/>
      <c r="I19" s="287"/>
      <c r="J19" s="286"/>
      <c r="K19" s="281"/>
      <c r="L19" s="1213" t="e">
        <f>INDEX(PT_DIFFERENTIATION_NUM_NTAR,MATCH(A19,PT_DIFFERENTIATION_NTAR_ID,0))</f>
        <v>#N/A</v>
      </c>
      <c r="M19" s="217" t="s">
        <v>185</v>
      </c>
      <c r="N19" s="219"/>
      <c r="O19" s="5013" t="e">
        <f>INDEX(PT_DIFFERENTIATION_NTAR,MATCH(A19,PT_DIFFERENTIATION_NTAR_ID,0))</f>
        <v>#N/A</v>
      </c>
      <c r="P19" s="5013"/>
      <c r="Q19" s="5013"/>
      <c r="R19" s="5013"/>
      <c r="S19" s="5013"/>
      <c r="T19" s="5013"/>
      <c r="U19" s="5013"/>
      <c r="V19" s="5013"/>
      <c r="W19" s="5013"/>
      <c r="X19" s="1178" t="s">
        <v>537</v>
      </c>
      <c r="Z19" s="427"/>
      <c r="AA19" s="427" t="str">
        <f t="shared" ref="AA19:AA32" si="0">IF(M19="","",M19)</f>
        <v>Наименование тарифа</v>
      </c>
      <c r="AB19" s="427"/>
      <c r="AC19" s="427"/>
    </row>
    <row r="20" spans="1:29" ht="21" customHeight="1">
      <c r="A20" s="1187" t="s">
        <v>2275</v>
      </c>
      <c r="B20" s="1187" t="s">
        <v>2276</v>
      </c>
      <c r="C20" s="1187" t="s">
        <v>2277</v>
      </c>
      <c r="D20" s="1187" t="s">
        <v>2278</v>
      </c>
      <c r="E20" s="1187"/>
      <c r="F20" s="609"/>
      <c r="G20" s="609"/>
      <c r="H20" s="609"/>
      <c r="I20" s="1210"/>
      <c r="J20" s="278"/>
      <c r="K20" s="279"/>
      <c r="L20" s="1213" t="e">
        <f>INDEX(PT_DIFFERENTIATION_NUM_TER,MATCH(B19,PT_DIFFERENTIATION_TER_ID,0))</f>
        <v>#N/A</v>
      </c>
      <c r="M20" s="229" t="s">
        <v>538</v>
      </c>
      <c r="N20" s="219"/>
      <c r="O20" s="5013" t="e">
        <f>INDEX(PT_DIFFERENTIATION_TER,MATCH(B19,PT_DIFFERENTIATION_TER_ID,0))</f>
        <v>#N/A</v>
      </c>
      <c r="P20" s="5013"/>
      <c r="Q20" s="5013"/>
      <c r="R20" s="5013"/>
      <c r="S20" s="5013"/>
      <c r="T20" s="5013"/>
      <c r="U20" s="5013"/>
      <c r="V20" s="5013"/>
      <c r="W20" s="5013"/>
      <c r="X20" s="1178" t="s">
        <v>539</v>
      </c>
      <c r="Z20" s="427"/>
      <c r="AA20" s="427" t="str">
        <f t="shared" si="0"/>
        <v>Территория действия тарифа</v>
      </c>
      <c r="AB20" s="427"/>
      <c r="AC20" s="427"/>
    </row>
    <row r="21" spans="1:29" ht="22.5" customHeight="1">
      <c r="A21" s="1187" t="s">
        <v>2275</v>
      </c>
      <c r="B21" s="1187" t="s">
        <v>2276</v>
      </c>
      <c r="C21" s="1187" t="s">
        <v>2277</v>
      </c>
      <c r="D21" s="1187" t="s">
        <v>2278</v>
      </c>
      <c r="E21" s="1187"/>
      <c r="F21" s="609"/>
      <c r="G21" s="609"/>
      <c r="H21" s="609"/>
      <c r="I21" s="280"/>
      <c r="J21" s="278"/>
      <c r="K21" s="279"/>
      <c r="L21" s="1213" t="e">
        <f>INDEX(PT_DIFFERENTIATION_NUM_CS,MATCH(C19,PT_DIFFERENTIATION_CS_ID,0))</f>
        <v>#N/A</v>
      </c>
      <c r="M21" s="230" t="s">
        <v>540</v>
      </c>
      <c r="N21" s="219"/>
      <c r="O21" s="5013" t="e">
        <f>INDEX(PT_DIFFERENTIATION_CS,MATCH(C19,PT_DIFFERENTIATION_CS_ID,0))</f>
        <v>#N/A</v>
      </c>
      <c r="P21" s="5013"/>
      <c r="Q21" s="5013"/>
      <c r="R21" s="5013"/>
      <c r="S21" s="5013"/>
      <c r="T21" s="5013"/>
      <c r="U21" s="5013"/>
      <c r="V21" s="5013"/>
      <c r="W21" s="5013"/>
      <c r="X21" s="1178" t="s">
        <v>541</v>
      </c>
      <c r="Z21" s="427"/>
      <c r="AA21" s="427" t="str">
        <f t="shared" si="0"/>
        <v xml:space="preserve">Наименование системы теплоснабжения </v>
      </c>
      <c r="AB21" s="427"/>
      <c r="AC21" s="427"/>
    </row>
    <row r="22" spans="1:29" ht="21" customHeight="1">
      <c r="A22" s="1187" t="s">
        <v>2275</v>
      </c>
      <c r="B22" s="1187" t="s">
        <v>2276</v>
      </c>
      <c r="C22" s="1187" t="s">
        <v>2277</v>
      </c>
      <c r="D22" s="1187" t="s">
        <v>2278</v>
      </c>
      <c r="E22" s="1187"/>
      <c r="F22" s="609"/>
      <c r="G22" s="609"/>
      <c r="H22" s="609"/>
      <c r="I22" s="280"/>
      <c r="J22" s="278"/>
      <c r="K22" s="279"/>
      <c r="L22" s="1213" t="e">
        <f>INDEX(PT_DIFFERENTIATION_NUM_IST_TE,MATCH(D19,PT_DIFFERENTIATION_IST_TE_ID,0))</f>
        <v>#N/A</v>
      </c>
      <c r="M22" s="231" t="s">
        <v>542</v>
      </c>
      <c r="N22" s="219"/>
      <c r="O22" s="5013" t="e">
        <f>INDEX(PT_DIFFERENTIATION_IST_TE,MATCH(D19,PT_DIFFERENTIATION_IST_TE_ID,0))</f>
        <v>#N/A</v>
      </c>
      <c r="P22" s="5013"/>
      <c r="Q22" s="5013"/>
      <c r="R22" s="5013"/>
      <c r="S22" s="5013"/>
      <c r="T22" s="5013"/>
      <c r="U22" s="5013"/>
      <c r="V22" s="5013"/>
      <c r="W22" s="5013"/>
      <c r="X22" s="1178" t="s">
        <v>543</v>
      </c>
      <c r="Z22" s="427"/>
      <c r="AA22" s="427" t="str">
        <f t="shared" si="0"/>
        <v xml:space="preserve">Источник тепловой энергии  </v>
      </c>
      <c r="AB22" s="427"/>
      <c r="AC22" s="427"/>
    </row>
    <row r="23" spans="1:29" ht="94.5" customHeight="1">
      <c r="A23" s="1187" t="s">
        <v>2275</v>
      </c>
      <c r="B23" s="1187" t="s">
        <v>2276</v>
      </c>
      <c r="C23" s="1187" t="s">
        <v>2277</v>
      </c>
      <c r="D23" s="1187" t="s">
        <v>2278</v>
      </c>
      <c r="E23" s="1187"/>
      <c r="F23" s="4601" t="e">
        <f>L22&amp;".1"</f>
        <v>#N/A</v>
      </c>
      <c r="I23" s="4758">
        <v>1</v>
      </c>
      <c r="J23" s="1211"/>
      <c r="K23" s="282"/>
      <c r="L23" s="1213" t="e">
        <f>$F$23</f>
        <v>#N/A</v>
      </c>
      <c r="M23" s="204" t="s">
        <v>545</v>
      </c>
      <c r="N23" s="219"/>
      <c r="O23" s="5014"/>
      <c r="P23" s="5014"/>
      <c r="Q23" s="5014"/>
      <c r="R23" s="5014"/>
      <c r="S23" s="5014"/>
      <c r="T23" s="5014"/>
      <c r="U23" s="5014"/>
      <c r="V23" s="5014"/>
      <c r="W23" s="5014"/>
      <c r="X23" s="1178" t="s">
        <v>546</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2275</v>
      </c>
      <c r="B24" s="1187" t="s">
        <v>2276</v>
      </c>
      <c r="C24" s="1187" t="s">
        <v>2277</v>
      </c>
      <c r="D24" s="1187" t="s">
        <v>2278</v>
      </c>
      <c r="E24" s="1187"/>
      <c r="F24" s="4601"/>
      <c r="G24" s="4601" t="e">
        <f>F23&amp;".1"</f>
        <v>#N/A</v>
      </c>
      <c r="I24" s="4758"/>
      <c r="J24" s="4758">
        <v>1</v>
      </c>
      <c r="K24" s="283"/>
      <c r="L24" s="1213" t="e">
        <f>$G$24</f>
        <v>#N/A</v>
      </c>
      <c r="M24" s="205" t="s">
        <v>548</v>
      </c>
      <c r="N24" s="219"/>
      <c r="O24" s="5015"/>
      <c r="P24" s="5016"/>
      <c r="Q24" s="5016"/>
      <c r="R24" s="5016"/>
      <c r="S24" s="5016"/>
      <c r="T24" s="5016"/>
      <c r="U24" s="5016"/>
      <c r="V24" s="5016"/>
      <c r="W24" s="5017"/>
      <c r="X24" s="1178" t="s">
        <v>549</v>
      </c>
      <c r="Z24" s="427"/>
      <c r="AA24" s="427" t="str">
        <f t="shared" si="0"/>
        <v>Группа потребителей</v>
      </c>
      <c r="AB24" s="427"/>
      <c r="AC24" s="427"/>
    </row>
    <row r="25" spans="1:29" ht="11.25" customHeight="1">
      <c r="A25" s="1187" t="s">
        <v>2275</v>
      </c>
      <c r="B25" s="1187" t="s">
        <v>2276</v>
      </c>
      <c r="C25" s="1187" t="s">
        <v>2277</v>
      </c>
      <c r="D25" s="1187" t="s">
        <v>2278</v>
      </c>
      <c r="E25" s="1187"/>
      <c r="F25" s="4601"/>
      <c r="G25" s="4601"/>
      <c r="H25" s="4601" t="e">
        <f>G24&amp;".1"</f>
        <v>#N/A</v>
      </c>
      <c r="I25" s="4758"/>
      <c r="J25" s="4758"/>
      <c r="K25" s="283">
        <v>1</v>
      </c>
      <c r="L25" s="1213" t="e">
        <f>$H$25</f>
        <v>#N/A</v>
      </c>
      <c r="M25" s="1179"/>
      <c r="N25" s="219"/>
      <c r="O25" s="669"/>
      <c r="P25" s="251"/>
      <c r="Q25" s="669"/>
      <c r="R25" s="1177"/>
      <c r="S25" s="4762"/>
      <c r="T25" s="4608" t="s">
        <v>65</v>
      </c>
      <c r="U25" s="4762"/>
      <c r="V25" s="4608" t="s">
        <v>55</v>
      </c>
      <c r="W25" s="251"/>
      <c r="X25" s="4754" t="s">
        <v>551</v>
      </c>
      <c r="Y25" s="438" t="e">
        <f ca="1">STRCHECKDATE(O26:W26)</f>
        <v>#NAME?</v>
      </c>
      <c r="Z25" s="427"/>
      <c r="AA25" s="427" t="str">
        <f t="shared" si="0"/>
        <v/>
      </c>
      <c r="AB25" s="427"/>
      <c r="AC25" s="427"/>
    </row>
    <row r="26" spans="1:29" ht="11.25" customHeight="1">
      <c r="A26" s="1187" t="s">
        <v>2275</v>
      </c>
      <c r="B26" s="1187" t="s">
        <v>2276</v>
      </c>
      <c r="C26" s="1187" t="s">
        <v>2277</v>
      </c>
      <c r="D26" s="1187" t="s">
        <v>2278</v>
      </c>
      <c r="E26" s="1187"/>
      <c r="F26" s="4601"/>
      <c r="G26" s="4601"/>
      <c r="H26" s="4601"/>
      <c r="I26" s="4758"/>
      <c r="J26" s="4758"/>
      <c r="K26" s="283"/>
      <c r="L26" s="1214"/>
      <c r="M26" s="219"/>
      <c r="N26" s="219"/>
      <c r="O26" s="251"/>
      <c r="P26" s="251"/>
      <c r="Q26" s="251"/>
      <c r="R26" s="255" t="str">
        <f>S25&amp;"-"&amp;U25</f>
        <v>-</v>
      </c>
      <c r="S26" s="4763"/>
      <c r="T26" s="4608"/>
      <c r="U26" s="4763"/>
      <c r="V26" s="4608"/>
      <c r="W26" s="251"/>
      <c r="X26" s="4755"/>
      <c r="Z26" s="427"/>
      <c r="AA26" s="427" t="str">
        <f t="shared" si="0"/>
        <v/>
      </c>
      <c r="AB26" s="427"/>
      <c r="AC26" s="427"/>
    </row>
    <row r="27" spans="1:29" ht="15" customHeight="1">
      <c r="A27" s="1187" t="s">
        <v>2275</v>
      </c>
      <c r="B27" s="1187" t="s">
        <v>2276</v>
      </c>
      <c r="C27" s="1187" t="s">
        <v>2277</v>
      </c>
      <c r="D27" s="1187" t="s">
        <v>2278</v>
      </c>
      <c r="E27" s="1187"/>
      <c r="F27" s="4601"/>
      <c r="G27" s="4601"/>
      <c r="I27" s="4758"/>
      <c r="J27" s="4758"/>
      <c r="K27" s="282"/>
      <c r="L27" s="1199"/>
      <c r="M27" s="207" t="s">
        <v>552</v>
      </c>
      <c r="N27" s="296"/>
      <c r="O27" s="296"/>
      <c r="P27" s="296"/>
      <c r="Q27" s="296"/>
      <c r="R27" s="296"/>
      <c r="S27" s="296"/>
      <c r="T27" s="296"/>
      <c r="U27" s="296"/>
      <c r="V27" s="296"/>
      <c r="W27" s="250"/>
      <c r="X27" s="4756"/>
      <c r="Z27" s="427"/>
      <c r="AA27" s="427" t="str">
        <f t="shared" si="0"/>
        <v>Добавить вид теплоносителя (параметры теплоносителя)</v>
      </c>
      <c r="AB27" s="427"/>
      <c r="AC27" s="427"/>
    </row>
    <row r="28" spans="1:29" ht="15" customHeight="1">
      <c r="A28" s="1187" t="s">
        <v>2275</v>
      </c>
      <c r="B28" s="1187" t="s">
        <v>2276</v>
      </c>
      <c r="C28" s="1187" t="s">
        <v>2277</v>
      </c>
      <c r="D28" s="1187" t="s">
        <v>2278</v>
      </c>
      <c r="E28" s="1187"/>
      <c r="F28" s="4601"/>
      <c r="I28" s="4758"/>
      <c r="J28" s="1211"/>
      <c r="K28" s="282"/>
      <c r="L28" s="1199"/>
      <c r="M28" s="206" t="s">
        <v>553</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2275</v>
      </c>
      <c r="B29" s="1187" t="s">
        <v>2276</v>
      </c>
      <c r="C29" s="1187" t="s">
        <v>2277</v>
      </c>
      <c r="D29" s="1187" t="s">
        <v>2278</v>
      </c>
      <c r="E29" s="1187"/>
      <c r="F29" s="609"/>
      <c r="G29" s="609"/>
      <c r="H29" s="436"/>
      <c r="I29" s="286"/>
      <c r="J29" s="305"/>
      <c r="K29" s="281"/>
      <c r="L29" s="1199"/>
      <c r="M29" s="293" t="s">
        <v>554</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2275</v>
      </c>
      <c r="B30" s="1187" t="s">
        <v>2276</v>
      </c>
      <c r="C30" s="1187" t="s">
        <v>2277</v>
      </c>
      <c r="D30" s="1187"/>
      <c r="E30" s="1187" t="s">
        <v>721</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2275</v>
      </c>
      <c r="B31" s="1187" t="s">
        <v>2276</v>
      </c>
      <c r="C31" s="1187"/>
      <c r="D31" s="1187"/>
      <c r="E31" s="1187" t="s">
        <v>2271</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2279</v>
      </c>
      <c r="B32" s="1187"/>
      <c r="C32" s="1187"/>
      <c r="D32" s="1187"/>
      <c r="E32" s="1187" t="s">
        <v>169</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4548" customFormat="1" ht="11.25" customHeight="1">
      <c r="A33" s="1187"/>
      <c r="B33" s="1187"/>
      <c r="C33" s="1187"/>
      <c r="D33" s="1187"/>
      <c r="E33" s="1187" t="s">
        <v>407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853</v>
      </c>
      <c r="M35" s="4779" t="s">
        <v>2273</v>
      </c>
      <c r="N35" s="4779"/>
      <c r="O35" s="4779"/>
      <c r="P35" s="4779"/>
      <c r="Q35" s="4779"/>
      <c r="R35" s="4779"/>
      <c r="S35" s="4779"/>
      <c r="T35" s="4779"/>
      <c r="U35" s="4779"/>
      <c r="V35" s="4779"/>
      <c r="W35" s="4779"/>
      <c r="X35" s="4779"/>
    </row>
    <row r="36" spans="1:29" ht="104.25" customHeight="1">
      <c r="F36" s="1223"/>
      <c r="G36" s="1223"/>
      <c r="H36" s="436"/>
      <c r="I36" s="1223"/>
      <c r="M36" s="4779" t="s">
        <v>2274</v>
      </c>
      <c r="N36" s="4779"/>
      <c r="O36" s="4779"/>
      <c r="P36" s="4779"/>
      <c r="Q36" s="4779"/>
      <c r="R36" s="4779"/>
      <c r="S36" s="4779"/>
      <c r="T36" s="4779"/>
      <c r="U36" s="4779"/>
      <c r="V36" s="4779"/>
      <c r="W36" s="4779"/>
      <c r="X36" s="4779"/>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L49"/>
  <sheetViews>
    <sheetView showGridLines="0" topLeftCell="C3" zoomScale="90" workbookViewId="0"/>
  </sheetViews>
  <sheetFormatPr defaultColWidth="9.140625" defaultRowHeight="11.25" customHeight="1"/>
  <cols>
    <col min="1" max="2" width="9.140625" style="1846" hidden="1"/>
    <col min="3" max="4" width="3.7109375" style="1846" customWidth="1"/>
    <col min="5" max="6" width="16" style="1846" customWidth="1"/>
    <col min="7" max="7" width="11.5703125" style="1846" customWidth="1"/>
    <col min="8" max="9" width="3.7109375" style="1846" customWidth="1"/>
    <col min="10" max="10" width="13.140625" style="1846" customWidth="1"/>
    <col min="11" max="11" width="0.28515625" style="1846" customWidth="1"/>
    <col min="12" max="13" width="10.7109375" style="1846" customWidth="1"/>
    <col min="14" max="15" width="3.7109375" style="1846" customWidth="1"/>
    <col min="16" max="16" width="19.7109375" style="1846" customWidth="1"/>
    <col min="17" max="17" width="0.28515625" style="1846" customWidth="1"/>
    <col min="18" max="19" width="10.7109375" style="1846" customWidth="1"/>
    <col min="20" max="21" width="3.7109375" style="1846" customWidth="1"/>
    <col min="22" max="22" width="25.7109375" style="1846" customWidth="1"/>
    <col min="23" max="23" width="0.28515625" style="1846" customWidth="1"/>
    <col min="24" max="25" width="10.7109375" style="1846" customWidth="1"/>
    <col min="26" max="27" width="3.7109375" style="1846" customWidth="1"/>
    <col min="28" max="28" width="16.42578125" style="1846" customWidth="1"/>
    <col min="29" max="29" width="0.28515625" style="1846" customWidth="1"/>
    <col min="30" max="31" width="10.7109375" style="1846" customWidth="1"/>
    <col min="32" max="33" width="3.7109375" style="1846" customWidth="1"/>
    <col min="34" max="34" width="8.7109375" style="1846" customWidth="1"/>
    <col min="35" max="35" width="21.7109375" style="1846" customWidth="1"/>
    <col min="36" max="36" width="9.140625" style="1832"/>
    <col min="37" max="37" width="9.140625" style="1919"/>
    <col min="38" max="64" width="9.140625" style="1832"/>
  </cols>
  <sheetData>
    <row r="1" spans="1:64" s="1833"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917" customFormat="1" ht="11.25" hidden="1" customHeight="1">
      <c r="L2" s="1472" t="s">
        <v>418</v>
      </c>
      <c r="M2" s="1472" t="s">
        <v>419</v>
      </c>
      <c r="R2" s="1472" t="s">
        <v>420</v>
      </c>
      <c r="S2" s="1472" t="s">
        <v>419</v>
      </c>
      <c r="X2" s="1472" t="s">
        <v>418</v>
      </c>
      <c r="Y2" s="1472" t="s">
        <v>419</v>
      </c>
      <c r="AD2" s="1472" t="s">
        <v>418</v>
      </c>
      <c r="AE2" s="1472" t="s">
        <v>419</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row>
    <row r="3" spans="1:64" s="1918" customFormat="1" ht="11.25" customHeight="1">
      <c r="AJ3" s="1492"/>
      <c r="AK3" s="226"/>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row>
    <row r="4" spans="1:64" s="1830" customFormat="1" ht="33" customHeight="1">
      <c r="A4" s="1057"/>
      <c r="B4" s="1056"/>
      <c r="C4" s="1426"/>
      <c r="D4" s="4703" t="s">
        <v>421</v>
      </c>
      <c r="E4" s="4703"/>
      <c r="F4" s="4703"/>
      <c r="G4" s="4703"/>
      <c r="H4" s="4703"/>
      <c r="I4" s="4703"/>
      <c r="J4" s="4703"/>
      <c r="K4" s="620"/>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row>
    <row r="5" spans="1:64" s="1922" customFormat="1" ht="14.25" customHeight="1">
      <c r="A5" s="1545"/>
      <c r="B5" s="1544"/>
      <c r="C5" s="1426"/>
      <c r="D5" s="4690" t="str">
        <f>IF(org=0,"Не определено",org)</f>
        <v>ОГКП "Ульяновский областной водоканал"</v>
      </c>
      <c r="E5" s="4690"/>
      <c r="F5" s="4690"/>
      <c r="G5" s="4690"/>
      <c r="H5" s="4690"/>
      <c r="I5" s="4690"/>
      <c r="J5" s="4690"/>
      <c r="K5" s="620"/>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row>
    <row r="6" spans="1:64" s="1830" customFormat="1" ht="14.25" customHeight="1">
      <c r="A6" s="1057"/>
      <c r="B6" s="1056"/>
      <c r="C6" s="1426"/>
      <c r="D6" s="620"/>
      <c r="E6" s="620"/>
      <c r="F6" s="620"/>
      <c r="G6" s="620"/>
      <c r="H6" s="620"/>
      <c r="I6" s="620"/>
      <c r="J6" s="620"/>
      <c r="K6" s="620"/>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row>
    <row r="7" spans="1:64" s="1833"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4627" t="s">
        <v>86</v>
      </c>
      <c r="E8" s="4627" t="s">
        <v>170</v>
      </c>
      <c r="F8" s="4704" t="s">
        <v>184</v>
      </c>
      <c r="G8" s="4705"/>
      <c r="H8" s="4704" t="s">
        <v>86</v>
      </c>
      <c r="I8" s="4705"/>
      <c r="J8" s="4627" t="s">
        <v>185</v>
      </c>
      <c r="K8" s="1474"/>
      <c r="L8" s="4689" t="s">
        <v>422</v>
      </c>
      <c r="M8" s="4689"/>
      <c r="N8" s="4689"/>
      <c r="O8" s="4689"/>
      <c r="P8" s="4689"/>
      <c r="Q8" s="1475"/>
      <c r="R8" s="4598" t="s">
        <v>423</v>
      </c>
      <c r="S8" s="4604"/>
      <c r="T8" s="4604"/>
      <c r="U8" s="4604"/>
      <c r="V8" s="4604"/>
      <c r="W8" s="1475"/>
      <c r="X8" s="4627" t="s">
        <v>424</v>
      </c>
      <c r="Y8" s="4627"/>
      <c r="Z8" s="4627"/>
      <c r="AA8" s="4627"/>
      <c r="AB8" s="4627"/>
      <c r="AC8" s="1476"/>
      <c r="AD8" s="4627" t="s">
        <v>425</v>
      </c>
      <c r="AE8" s="4627"/>
      <c r="AF8" s="4627"/>
      <c r="AG8" s="4627"/>
      <c r="AH8" s="4598"/>
      <c r="AI8" s="4627" t="s">
        <v>426</v>
      </c>
      <c r="AJ8" s="1492"/>
    </row>
    <row r="9" spans="1:64" ht="22.5" customHeight="1">
      <c r="D9" s="4627"/>
      <c r="E9" s="4627"/>
      <c r="F9" s="4689" t="s">
        <v>87</v>
      </c>
      <c r="G9" s="4689" t="s">
        <v>190</v>
      </c>
      <c r="H9" s="4706"/>
      <c r="I9" s="4707"/>
      <c r="J9" s="4598"/>
      <c r="K9" s="1477"/>
      <c r="L9" s="4627" t="s">
        <v>427</v>
      </c>
      <c r="M9" s="4598"/>
      <c r="N9" s="4704" t="s">
        <v>86</v>
      </c>
      <c r="O9" s="4705"/>
      <c r="P9" s="4627" t="s">
        <v>191</v>
      </c>
      <c r="Q9" s="1474"/>
      <c r="R9" s="4627" t="s">
        <v>427</v>
      </c>
      <c r="S9" s="4598"/>
      <c r="T9" s="4704" t="s">
        <v>86</v>
      </c>
      <c r="U9" s="4705"/>
      <c r="V9" s="4627" t="s">
        <v>191</v>
      </c>
      <c r="W9" s="1474"/>
      <c r="X9" s="4627" t="s">
        <v>427</v>
      </c>
      <c r="Y9" s="4598"/>
      <c r="Z9" s="4704" t="s">
        <v>86</v>
      </c>
      <c r="AA9" s="4705"/>
      <c r="AB9" s="4627" t="s">
        <v>428</v>
      </c>
      <c r="AC9" s="1474"/>
      <c r="AD9" s="4627" t="s">
        <v>427</v>
      </c>
      <c r="AE9" s="4598"/>
      <c r="AF9" s="4704" t="s">
        <v>86</v>
      </c>
      <c r="AG9" s="4705"/>
      <c r="AH9" s="4598" t="s">
        <v>428</v>
      </c>
      <c r="AI9" s="4627"/>
      <c r="AJ9" s="1492"/>
    </row>
    <row r="10" spans="1:64" ht="22.5" customHeight="1">
      <c r="D10" s="4689"/>
      <c r="E10" s="4689"/>
      <c r="F10" s="4708"/>
      <c r="G10" s="4708"/>
      <c r="H10" s="4709"/>
      <c r="I10" s="4710"/>
      <c r="J10" s="4704"/>
      <c r="K10" s="1477"/>
      <c r="L10" s="1496" t="s">
        <v>429</v>
      </c>
      <c r="M10" s="1491" t="s">
        <v>430</v>
      </c>
      <c r="N10" s="4706"/>
      <c r="O10" s="4707"/>
      <c r="P10" s="4689"/>
      <c r="Q10" s="1474"/>
      <c r="R10" s="1496" t="s">
        <v>429</v>
      </c>
      <c r="S10" s="1491" t="s">
        <v>430</v>
      </c>
      <c r="T10" s="4706"/>
      <c r="U10" s="4707"/>
      <c r="V10" s="4689"/>
      <c r="W10" s="1474"/>
      <c r="X10" s="1496" t="s">
        <v>429</v>
      </c>
      <c r="Y10" s="1491" t="s">
        <v>430</v>
      </c>
      <c r="Z10" s="4706"/>
      <c r="AA10" s="4707"/>
      <c r="AB10" s="4689"/>
      <c r="AC10" s="1474"/>
      <c r="AD10" s="1496" t="s">
        <v>429</v>
      </c>
      <c r="AE10" s="1491" t="s">
        <v>430</v>
      </c>
      <c r="AF10" s="4706"/>
      <c r="AG10" s="4707"/>
      <c r="AH10" s="4704"/>
      <c r="AI10" s="4689"/>
      <c r="AJ10" s="1492"/>
      <c r="AK10" s="173" t="s">
        <v>431</v>
      </c>
      <c r="AL10" s="173" t="s">
        <v>192</v>
      </c>
    </row>
    <row r="11" spans="1:64" ht="14.25" customHeight="1">
      <c r="D11" s="4697" t="s">
        <v>174</v>
      </c>
      <c r="E11" s="4693" t="s">
        <v>432</v>
      </c>
      <c r="F11" s="4693" t="s">
        <v>433</v>
      </c>
      <c r="G11" s="4684" t="s">
        <v>55</v>
      </c>
      <c r="H11" s="1517"/>
      <c r="I11" s="4695"/>
      <c r="J11" s="4652"/>
      <c r="K11" s="1425"/>
      <c r="L11" s="4635"/>
      <c r="M11" s="4635"/>
      <c r="N11" s="1502"/>
      <c r="O11" s="4635"/>
      <c r="P11" s="4652"/>
      <c r="Q11" s="1503"/>
      <c r="R11" s="4635"/>
      <c r="S11" s="4635"/>
      <c r="T11" s="1504"/>
      <c r="U11" s="4635"/>
      <c r="V11" s="4652"/>
      <c r="W11" s="1505"/>
      <c r="X11" s="4635"/>
      <c r="Y11" s="4635"/>
      <c r="Z11" s="1502"/>
      <c r="AA11" s="4635"/>
      <c r="AB11" s="4652"/>
      <c r="AC11" s="1506"/>
      <c r="AD11" s="4635"/>
      <c r="AE11" s="4635"/>
      <c r="AF11" s="1424"/>
      <c r="AG11" s="1424"/>
      <c r="AH11" s="1507"/>
      <c r="AI11" s="1216"/>
      <c r="AJ11" s="1492"/>
    </row>
    <row r="12" spans="1:64" ht="14.25" customHeight="1">
      <c r="D12" s="4697"/>
      <c r="E12" s="4693"/>
      <c r="F12" s="4693"/>
      <c r="G12" s="4685"/>
      <c r="H12" s="1518"/>
      <c r="I12" s="4696"/>
      <c r="J12" s="4653"/>
      <c r="K12" s="1526"/>
      <c r="L12" s="4636"/>
      <c r="M12" s="4636"/>
      <c r="N12" s="1508"/>
      <c r="O12" s="4636"/>
      <c r="P12" s="4653"/>
      <c r="Q12" s="1509"/>
      <c r="R12" s="4636"/>
      <c r="S12" s="4636"/>
      <c r="T12" s="1510"/>
      <c r="U12" s="4636"/>
      <c r="V12" s="4653"/>
      <c r="W12" s="1511"/>
      <c r="X12" s="4636"/>
      <c r="Y12" s="4636"/>
      <c r="Z12" s="1508"/>
      <c r="AA12" s="4636"/>
      <c r="AB12" s="4653"/>
      <c r="AC12" s="1512"/>
      <c r="AD12" s="4636"/>
      <c r="AE12" s="4636"/>
      <c r="AF12" s="1513"/>
      <c r="AG12" s="1513"/>
      <c r="AH12" s="4691"/>
      <c r="AI12" s="4692"/>
      <c r="AJ12" s="1492"/>
    </row>
    <row r="13" spans="1:64" ht="14.25" customHeight="1">
      <c r="D13" s="4697"/>
      <c r="E13" s="4693"/>
      <c r="F13" s="4693"/>
      <c r="G13" s="4685"/>
      <c r="H13" s="1518"/>
      <c r="I13" s="4696"/>
      <c r="J13" s="4653"/>
      <c r="K13" s="1526"/>
      <c r="L13" s="4636"/>
      <c r="M13" s="4636"/>
      <c r="N13" s="1508"/>
      <c r="O13" s="4636"/>
      <c r="P13" s="4653"/>
      <c r="Q13" s="1509"/>
      <c r="R13" s="4636"/>
      <c r="S13" s="4636"/>
      <c r="T13" s="1510"/>
      <c r="U13" s="4636"/>
      <c r="V13" s="4653"/>
      <c r="W13" s="1511"/>
      <c r="X13" s="4636"/>
      <c r="Y13" s="4636"/>
      <c r="Z13" s="1423"/>
      <c r="AA13" s="1513"/>
      <c r="AB13" s="4691"/>
      <c r="AC13" s="4691"/>
      <c r="AD13" s="4691"/>
      <c r="AE13" s="4691"/>
      <c r="AF13" s="4691"/>
      <c r="AG13" s="4691"/>
      <c r="AH13" s="4691"/>
      <c r="AI13" s="4692"/>
      <c r="AJ13" s="1492"/>
    </row>
    <row r="14" spans="1:64" ht="14.25" customHeight="1">
      <c r="D14" s="4697"/>
      <c r="E14" s="4693"/>
      <c r="F14" s="4693"/>
      <c r="G14" s="4685"/>
      <c r="H14" s="1518"/>
      <c r="I14" s="4696"/>
      <c r="J14" s="4653"/>
      <c r="K14" s="1526"/>
      <c r="L14" s="4636"/>
      <c r="M14" s="4636"/>
      <c r="N14" s="1508"/>
      <c r="O14" s="4636"/>
      <c r="P14" s="4653"/>
      <c r="Q14" s="1509"/>
      <c r="R14" s="4636"/>
      <c r="S14" s="4636"/>
      <c r="T14" s="1514"/>
      <c r="U14" s="1515"/>
      <c r="V14" s="4691"/>
      <c r="W14" s="4691"/>
      <c r="X14" s="4691"/>
      <c r="Y14" s="4691"/>
      <c r="Z14" s="4691"/>
      <c r="AA14" s="4691"/>
      <c r="AB14" s="4691"/>
      <c r="AC14" s="4691"/>
      <c r="AD14" s="4691"/>
      <c r="AE14" s="4691"/>
      <c r="AF14" s="4691"/>
      <c r="AG14" s="4691"/>
      <c r="AH14" s="4691"/>
      <c r="AI14" s="4692"/>
      <c r="AJ14" s="1492"/>
    </row>
    <row r="15" spans="1:64" ht="11.25" customHeight="1">
      <c r="D15" s="4697"/>
      <c r="E15" s="4693"/>
      <c r="F15" s="4693"/>
      <c r="G15" s="4685"/>
      <c r="H15" s="1519"/>
      <c r="I15" s="4696"/>
      <c r="J15" s="4653"/>
      <c r="K15" s="1526"/>
      <c r="L15" s="4636"/>
      <c r="M15" s="4636"/>
      <c r="N15" s="1513"/>
      <c r="O15" s="1513"/>
      <c r="P15" s="4691"/>
      <c r="Q15" s="4691"/>
      <c r="R15" s="4691"/>
      <c r="S15" s="4691"/>
      <c r="T15" s="4691"/>
      <c r="U15" s="4691"/>
      <c r="V15" s="4691"/>
      <c r="W15" s="4691"/>
      <c r="X15" s="4691"/>
      <c r="Y15" s="4691"/>
      <c r="Z15" s="4691"/>
      <c r="AA15" s="4691"/>
      <c r="AB15" s="4691"/>
      <c r="AC15" s="4691"/>
      <c r="AD15" s="4691"/>
      <c r="AE15" s="4691"/>
      <c r="AF15" s="4691"/>
      <c r="AG15" s="4691"/>
      <c r="AH15" s="4691"/>
      <c r="AI15" s="4692"/>
      <c r="AJ15" s="1492"/>
    </row>
    <row r="16" spans="1:64" s="1918" customFormat="1" ht="11.25" customHeight="1">
      <c r="D16" s="4701"/>
      <c r="E16" s="4702"/>
      <c r="F16" s="4694"/>
      <c r="G16" s="4613"/>
      <c r="H16" s="1516"/>
      <c r="I16" s="1520"/>
      <c r="J16" s="4699"/>
      <c r="K16" s="4699"/>
      <c r="L16" s="4699"/>
      <c r="M16" s="4699"/>
      <c r="N16" s="4699"/>
      <c r="O16" s="4699"/>
      <c r="P16" s="4699"/>
      <c r="Q16" s="4699"/>
      <c r="R16" s="4699"/>
      <c r="S16" s="4699"/>
      <c r="T16" s="4699"/>
      <c r="U16" s="4699"/>
      <c r="V16" s="4699"/>
      <c r="W16" s="4699"/>
      <c r="X16" s="4699"/>
      <c r="Y16" s="4699"/>
      <c r="Z16" s="4699"/>
      <c r="AA16" s="4699"/>
      <c r="AB16" s="4699"/>
      <c r="AC16" s="4699"/>
      <c r="AD16" s="4699"/>
      <c r="AE16" s="4699"/>
      <c r="AF16" s="4699"/>
      <c r="AG16" s="4699"/>
      <c r="AH16" s="4699"/>
      <c r="AI16" s="4700"/>
      <c r="AJ16" s="1492"/>
      <c r="AK16" s="226"/>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row>
    <row r="17" spans="4:64" ht="14.25" customHeight="1">
      <c r="D17" s="4697" t="s">
        <v>101</v>
      </c>
      <c r="E17" s="4693" t="s">
        <v>432</v>
      </c>
      <c r="F17" s="4693" t="s">
        <v>434</v>
      </c>
      <c r="G17" s="4684" t="s">
        <v>55</v>
      </c>
      <c r="H17" s="1517"/>
      <c r="I17" s="4695"/>
      <c r="J17" s="4652"/>
      <c r="K17" s="1425"/>
      <c r="L17" s="4635"/>
      <c r="M17" s="4635"/>
      <c r="N17" s="1502"/>
      <c r="O17" s="4635"/>
      <c r="P17" s="4652"/>
      <c r="Q17" s="1503"/>
      <c r="R17" s="4635"/>
      <c r="S17" s="4635"/>
      <c r="T17" s="1504"/>
      <c r="U17" s="4635"/>
      <c r="V17" s="4652"/>
      <c r="W17" s="1505"/>
      <c r="X17" s="4635"/>
      <c r="Y17" s="4635"/>
      <c r="Z17" s="1502"/>
      <c r="AA17" s="4635"/>
      <c r="AB17" s="4652"/>
      <c r="AC17" s="1506"/>
      <c r="AD17" s="4635"/>
      <c r="AE17" s="4635"/>
      <c r="AF17" s="1424"/>
      <c r="AG17" s="1424"/>
      <c r="AH17" s="1507"/>
      <c r="AI17" s="1216"/>
      <c r="AJ17" s="1492"/>
    </row>
    <row r="18" spans="4:64" ht="14.25" customHeight="1">
      <c r="D18" s="4697"/>
      <c r="E18" s="4693"/>
      <c r="F18" s="4693"/>
      <c r="G18" s="4685"/>
      <c r="H18" s="1518"/>
      <c r="I18" s="4696"/>
      <c r="J18" s="4653"/>
      <c r="K18" s="1501"/>
      <c r="L18" s="4636"/>
      <c r="M18" s="4636"/>
      <c r="N18" s="1508"/>
      <c r="O18" s="4636"/>
      <c r="P18" s="4653"/>
      <c r="Q18" s="1509"/>
      <c r="R18" s="4636"/>
      <c r="S18" s="4636"/>
      <c r="T18" s="1510"/>
      <c r="U18" s="4636"/>
      <c r="V18" s="4653"/>
      <c r="W18" s="1511"/>
      <c r="X18" s="4636"/>
      <c r="Y18" s="4636"/>
      <c r="Z18" s="1508"/>
      <c r="AA18" s="4636"/>
      <c r="AB18" s="4653"/>
      <c r="AC18" s="1512"/>
      <c r="AD18" s="4636"/>
      <c r="AE18" s="4636"/>
      <c r="AF18" s="1513"/>
      <c r="AG18" s="1513"/>
      <c r="AH18" s="4691"/>
      <c r="AI18" s="4692"/>
      <c r="AJ18" s="1492"/>
    </row>
    <row r="19" spans="4:64" ht="14.25" customHeight="1">
      <c r="D19" s="4697"/>
      <c r="E19" s="4693"/>
      <c r="F19" s="4693"/>
      <c r="G19" s="4685"/>
      <c r="H19" s="1518"/>
      <c r="I19" s="4696"/>
      <c r="J19" s="4653"/>
      <c r="K19" s="1501"/>
      <c r="L19" s="4636"/>
      <c r="M19" s="4636"/>
      <c r="N19" s="1508"/>
      <c r="O19" s="4636"/>
      <c r="P19" s="4653"/>
      <c r="Q19" s="1509"/>
      <c r="R19" s="4636"/>
      <c r="S19" s="4636"/>
      <c r="T19" s="1510"/>
      <c r="U19" s="4636"/>
      <c r="V19" s="4653"/>
      <c r="W19" s="1511"/>
      <c r="X19" s="4636"/>
      <c r="Y19" s="4636"/>
      <c r="Z19" s="1423"/>
      <c r="AA19" s="1513"/>
      <c r="AB19" s="4691"/>
      <c r="AC19" s="4691"/>
      <c r="AD19" s="4691"/>
      <c r="AE19" s="4691"/>
      <c r="AF19" s="4691"/>
      <c r="AG19" s="4691"/>
      <c r="AH19" s="4691"/>
      <c r="AI19" s="4692"/>
      <c r="AJ19" s="1492"/>
    </row>
    <row r="20" spans="4:64" ht="14.25" customHeight="1">
      <c r="D20" s="4697"/>
      <c r="E20" s="4693"/>
      <c r="F20" s="4693"/>
      <c r="G20" s="4685"/>
      <c r="H20" s="1518"/>
      <c r="I20" s="4696"/>
      <c r="J20" s="4653"/>
      <c r="K20" s="1501"/>
      <c r="L20" s="4636"/>
      <c r="M20" s="4636"/>
      <c r="N20" s="1508"/>
      <c r="O20" s="4636"/>
      <c r="P20" s="4653"/>
      <c r="Q20" s="1509"/>
      <c r="R20" s="4636"/>
      <c r="S20" s="4636"/>
      <c r="T20" s="1514"/>
      <c r="U20" s="1515"/>
      <c r="V20" s="4691"/>
      <c r="W20" s="4691"/>
      <c r="X20" s="4691"/>
      <c r="Y20" s="4691"/>
      <c r="Z20" s="4691"/>
      <c r="AA20" s="4691"/>
      <c r="AB20" s="4691"/>
      <c r="AC20" s="4691"/>
      <c r="AD20" s="4691"/>
      <c r="AE20" s="4691"/>
      <c r="AF20" s="4691"/>
      <c r="AG20" s="4691"/>
      <c r="AH20" s="4691"/>
      <c r="AI20" s="4692"/>
      <c r="AJ20" s="1492"/>
    </row>
    <row r="21" spans="4:64" ht="11.25" customHeight="1">
      <c r="D21" s="4697"/>
      <c r="E21" s="4693"/>
      <c r="F21" s="4693"/>
      <c r="G21" s="4685"/>
      <c r="H21" s="1519"/>
      <c r="I21" s="4696"/>
      <c r="J21" s="4653"/>
      <c r="K21" s="1501"/>
      <c r="L21" s="4636"/>
      <c r="M21" s="4636"/>
      <c r="N21" s="1513"/>
      <c r="O21" s="1513"/>
      <c r="P21" s="4691"/>
      <c r="Q21" s="4691"/>
      <c r="R21" s="4691"/>
      <c r="S21" s="4691"/>
      <c r="T21" s="4691"/>
      <c r="U21" s="4691"/>
      <c r="V21" s="4691"/>
      <c r="W21" s="4691"/>
      <c r="X21" s="4691"/>
      <c r="Y21" s="4691"/>
      <c r="Z21" s="4691"/>
      <c r="AA21" s="4691"/>
      <c r="AB21" s="4691"/>
      <c r="AC21" s="4691"/>
      <c r="AD21" s="4691"/>
      <c r="AE21" s="4691"/>
      <c r="AF21" s="4691"/>
      <c r="AG21" s="4691"/>
      <c r="AH21" s="4691"/>
      <c r="AI21" s="4692"/>
      <c r="AJ21" s="1492"/>
    </row>
    <row r="22" spans="4:64" s="1918" customFormat="1" ht="11.25" customHeight="1">
      <c r="D22" s="4701"/>
      <c r="E22" s="4702"/>
      <c r="F22" s="4694"/>
      <c r="G22" s="4613"/>
      <c r="H22" s="1516"/>
      <c r="I22" s="1520"/>
      <c r="J22" s="4699"/>
      <c r="K22" s="4699"/>
      <c r="L22" s="4699"/>
      <c r="M22" s="4699"/>
      <c r="N22" s="4699"/>
      <c r="O22" s="4699"/>
      <c r="P22" s="4699"/>
      <c r="Q22" s="4699"/>
      <c r="R22" s="4699"/>
      <c r="S22" s="4699"/>
      <c r="T22" s="4699"/>
      <c r="U22" s="4699"/>
      <c r="V22" s="4699"/>
      <c r="W22" s="4699"/>
      <c r="X22" s="4699"/>
      <c r="Y22" s="4699"/>
      <c r="Z22" s="4699"/>
      <c r="AA22" s="4699"/>
      <c r="AB22" s="4699"/>
      <c r="AC22" s="4699"/>
      <c r="AD22" s="4699"/>
      <c r="AE22" s="4699"/>
      <c r="AF22" s="4699"/>
      <c r="AG22" s="4699"/>
      <c r="AH22" s="4699"/>
      <c r="AI22" s="4700"/>
      <c r="AJ22" s="1492"/>
      <c r="AK22" s="226"/>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row>
    <row r="23" spans="4:64" ht="14.25" customHeight="1">
      <c r="D23" s="4697" t="s">
        <v>88</v>
      </c>
      <c r="E23" s="4693" t="s">
        <v>432</v>
      </c>
      <c r="F23" s="4693" t="s">
        <v>435</v>
      </c>
      <c r="G23" s="4684" t="s">
        <v>55</v>
      </c>
      <c r="H23" s="1517"/>
      <c r="I23" s="4695"/>
      <c r="J23" s="4652"/>
      <c r="K23" s="1425"/>
      <c r="L23" s="4635"/>
      <c r="M23" s="4635"/>
      <c r="N23" s="1502"/>
      <c r="O23" s="4635"/>
      <c r="P23" s="4652"/>
      <c r="Q23" s="1503"/>
      <c r="R23" s="4635"/>
      <c r="S23" s="4635"/>
      <c r="T23" s="1504"/>
      <c r="U23" s="4635"/>
      <c r="V23" s="4652"/>
      <c r="W23" s="1505"/>
      <c r="X23" s="4635"/>
      <c r="Y23" s="4635"/>
      <c r="Z23" s="1502"/>
      <c r="AA23" s="4635"/>
      <c r="AB23" s="4652"/>
      <c r="AC23" s="1506"/>
      <c r="AD23" s="4635"/>
      <c r="AE23" s="4635"/>
      <c r="AF23" s="1424"/>
      <c r="AG23" s="1424"/>
      <c r="AH23" s="1507"/>
      <c r="AI23" s="1216"/>
      <c r="AJ23" s="1492"/>
      <c r="AK23" s="226" t="s">
        <v>96</v>
      </c>
    </row>
    <row r="24" spans="4:64" ht="14.25" customHeight="1">
      <c r="D24" s="4697"/>
      <c r="E24" s="4693"/>
      <c r="F24" s="4693"/>
      <c r="G24" s="4685"/>
      <c r="H24" s="1518"/>
      <c r="I24" s="4696"/>
      <c r="J24" s="4653"/>
      <c r="K24" s="1526"/>
      <c r="L24" s="4636"/>
      <c r="M24" s="4636"/>
      <c r="N24" s="1508"/>
      <c r="O24" s="4636"/>
      <c r="P24" s="4653"/>
      <c r="Q24" s="1509"/>
      <c r="R24" s="4636"/>
      <c r="S24" s="4636"/>
      <c r="T24" s="1510"/>
      <c r="U24" s="4636"/>
      <c r="V24" s="4653"/>
      <c r="W24" s="1511"/>
      <c r="X24" s="4636"/>
      <c r="Y24" s="4636"/>
      <c r="Z24" s="1508"/>
      <c r="AA24" s="4636"/>
      <c r="AB24" s="4653"/>
      <c r="AC24" s="1512"/>
      <c r="AD24" s="4636"/>
      <c r="AE24" s="4636"/>
      <c r="AF24" s="1513"/>
      <c r="AG24" s="1513"/>
      <c r="AH24" s="4691"/>
      <c r="AI24" s="4692"/>
      <c r="AJ24" s="1492"/>
    </row>
    <row r="25" spans="4:64" ht="14.25" customHeight="1">
      <c r="D25" s="4697"/>
      <c r="E25" s="4693"/>
      <c r="F25" s="4693"/>
      <c r="G25" s="4685"/>
      <c r="H25" s="1518"/>
      <c r="I25" s="4696"/>
      <c r="J25" s="4653"/>
      <c r="K25" s="1526"/>
      <c r="L25" s="4636"/>
      <c r="M25" s="4636"/>
      <c r="N25" s="1508"/>
      <c r="O25" s="4636"/>
      <c r="P25" s="4653"/>
      <c r="Q25" s="1509"/>
      <c r="R25" s="4636"/>
      <c r="S25" s="4636"/>
      <c r="T25" s="1510"/>
      <c r="U25" s="4636"/>
      <c r="V25" s="4653"/>
      <c r="W25" s="1511"/>
      <c r="X25" s="4636"/>
      <c r="Y25" s="4636"/>
      <c r="Z25" s="1423"/>
      <c r="AA25" s="1513"/>
      <c r="AB25" s="4691"/>
      <c r="AC25" s="4691"/>
      <c r="AD25" s="4691"/>
      <c r="AE25" s="4691"/>
      <c r="AF25" s="4691"/>
      <c r="AG25" s="4691"/>
      <c r="AH25" s="4691"/>
      <c r="AI25" s="4692"/>
      <c r="AJ25" s="1492"/>
    </row>
    <row r="26" spans="4:64" ht="14.25" customHeight="1">
      <c r="D26" s="4697"/>
      <c r="E26" s="4693"/>
      <c r="F26" s="4693"/>
      <c r="G26" s="4685"/>
      <c r="H26" s="1518"/>
      <c r="I26" s="4696"/>
      <c r="J26" s="4653"/>
      <c r="K26" s="1526"/>
      <c r="L26" s="4636"/>
      <c r="M26" s="4636"/>
      <c r="N26" s="1508"/>
      <c r="O26" s="4636"/>
      <c r="P26" s="4653"/>
      <c r="Q26" s="1509"/>
      <c r="R26" s="4636"/>
      <c r="S26" s="4636"/>
      <c r="T26" s="1514"/>
      <c r="U26" s="1515"/>
      <c r="V26" s="4691"/>
      <c r="W26" s="4691"/>
      <c r="X26" s="4691"/>
      <c r="Y26" s="4691"/>
      <c r="Z26" s="4691"/>
      <c r="AA26" s="4691"/>
      <c r="AB26" s="4691"/>
      <c r="AC26" s="4691"/>
      <c r="AD26" s="4691"/>
      <c r="AE26" s="4691"/>
      <c r="AF26" s="4691"/>
      <c r="AG26" s="4691"/>
      <c r="AH26" s="4691"/>
      <c r="AI26" s="4692"/>
      <c r="AJ26" s="1492"/>
    </row>
    <row r="27" spans="4:64" ht="11.25" customHeight="1">
      <c r="D27" s="4697"/>
      <c r="E27" s="4693"/>
      <c r="F27" s="4693"/>
      <c r="G27" s="4685"/>
      <c r="H27" s="1519"/>
      <c r="I27" s="4696"/>
      <c r="J27" s="4653"/>
      <c r="K27" s="1526"/>
      <c r="L27" s="4636"/>
      <c r="M27" s="4636"/>
      <c r="N27" s="1513"/>
      <c r="O27" s="1513"/>
      <c r="P27" s="4691"/>
      <c r="Q27" s="4691"/>
      <c r="R27" s="4691"/>
      <c r="S27" s="4691"/>
      <c r="T27" s="4691"/>
      <c r="U27" s="4691"/>
      <c r="V27" s="4691"/>
      <c r="W27" s="4691"/>
      <c r="X27" s="4691"/>
      <c r="Y27" s="4691"/>
      <c r="Z27" s="4691"/>
      <c r="AA27" s="4691"/>
      <c r="AB27" s="4691"/>
      <c r="AC27" s="4691"/>
      <c r="AD27" s="4691"/>
      <c r="AE27" s="4691"/>
      <c r="AF27" s="4691"/>
      <c r="AG27" s="4691"/>
      <c r="AH27" s="4691"/>
      <c r="AI27" s="4692"/>
      <c r="AJ27" s="1492"/>
    </row>
    <row r="28" spans="4:64" s="1918" customFormat="1" ht="11.25" customHeight="1">
      <c r="D28" s="4701"/>
      <c r="E28" s="4702"/>
      <c r="F28" s="4694"/>
      <c r="G28" s="4613"/>
      <c r="H28" s="1516"/>
      <c r="I28" s="1520"/>
      <c r="J28" s="4699"/>
      <c r="K28" s="4699"/>
      <c r="L28" s="4699"/>
      <c r="M28" s="4699"/>
      <c r="N28" s="4699"/>
      <c r="O28" s="4699"/>
      <c r="P28" s="4699"/>
      <c r="Q28" s="4699"/>
      <c r="R28" s="4699"/>
      <c r="S28" s="4699"/>
      <c r="T28" s="4699"/>
      <c r="U28" s="4699"/>
      <c r="V28" s="4699"/>
      <c r="W28" s="4699"/>
      <c r="X28" s="4699"/>
      <c r="Y28" s="4699"/>
      <c r="Z28" s="4699"/>
      <c r="AA28" s="4699"/>
      <c r="AB28" s="4699"/>
      <c r="AC28" s="4699"/>
      <c r="AD28" s="4699"/>
      <c r="AE28" s="4699"/>
      <c r="AF28" s="4699"/>
      <c r="AG28" s="4699"/>
      <c r="AH28" s="4699"/>
      <c r="AI28" s="4700"/>
      <c r="AJ28" s="1492"/>
      <c r="AK28" s="226"/>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row>
    <row r="29" spans="4:64" ht="14.25" customHeight="1">
      <c r="D29" s="4697" t="s">
        <v>89</v>
      </c>
      <c r="E29" s="4693" t="s">
        <v>432</v>
      </c>
      <c r="F29" s="4693" t="s">
        <v>436</v>
      </c>
      <c r="G29" s="4684" t="s">
        <v>55</v>
      </c>
      <c r="H29" s="1517"/>
      <c r="I29" s="4695"/>
      <c r="J29" s="4652"/>
      <c r="K29" s="1425"/>
      <c r="L29" s="4635"/>
      <c r="M29" s="4635"/>
      <c r="N29" s="1502"/>
      <c r="O29" s="4635"/>
      <c r="P29" s="4652"/>
      <c r="Q29" s="1503"/>
      <c r="R29" s="4635"/>
      <c r="S29" s="4635"/>
      <c r="T29" s="1504"/>
      <c r="U29" s="4635"/>
      <c r="V29" s="4652"/>
      <c r="W29" s="1505"/>
      <c r="X29" s="4635"/>
      <c r="Y29" s="4635"/>
      <c r="Z29" s="1502"/>
      <c r="AA29" s="4635"/>
      <c r="AB29" s="4652"/>
      <c r="AC29" s="1506"/>
      <c r="AD29" s="4635"/>
      <c r="AE29" s="4635"/>
      <c r="AF29" s="1424"/>
      <c r="AG29" s="1424"/>
      <c r="AH29" s="1507"/>
      <c r="AI29" s="1216"/>
      <c r="AJ29" s="1492"/>
    </row>
    <row r="30" spans="4:64" ht="14.25" customHeight="1">
      <c r="D30" s="4697"/>
      <c r="E30" s="4693"/>
      <c r="F30" s="4693"/>
      <c r="G30" s="4685"/>
      <c r="H30" s="1518"/>
      <c r="I30" s="4696"/>
      <c r="J30" s="4653"/>
      <c r="K30" s="1501"/>
      <c r="L30" s="4636"/>
      <c r="M30" s="4636"/>
      <c r="N30" s="1508"/>
      <c r="O30" s="4636"/>
      <c r="P30" s="4653"/>
      <c r="Q30" s="1509"/>
      <c r="R30" s="4636"/>
      <c r="S30" s="4636"/>
      <c r="T30" s="1510"/>
      <c r="U30" s="4636"/>
      <c r="V30" s="4653"/>
      <c r="W30" s="1511"/>
      <c r="X30" s="4636"/>
      <c r="Y30" s="4636"/>
      <c r="Z30" s="1508"/>
      <c r="AA30" s="4636"/>
      <c r="AB30" s="4653"/>
      <c r="AC30" s="1512"/>
      <c r="AD30" s="4636"/>
      <c r="AE30" s="4636"/>
      <c r="AF30" s="1513"/>
      <c r="AG30" s="1513"/>
      <c r="AH30" s="4691"/>
      <c r="AI30" s="4692"/>
      <c r="AJ30" s="1492"/>
    </row>
    <row r="31" spans="4:64" ht="14.25" customHeight="1">
      <c r="D31" s="4697"/>
      <c r="E31" s="4693"/>
      <c r="F31" s="4693"/>
      <c r="G31" s="4685"/>
      <c r="H31" s="1518"/>
      <c r="I31" s="4696"/>
      <c r="J31" s="4653"/>
      <c r="K31" s="1501"/>
      <c r="L31" s="4636"/>
      <c r="M31" s="4636"/>
      <c r="N31" s="1508"/>
      <c r="O31" s="4636"/>
      <c r="P31" s="4653"/>
      <c r="Q31" s="1509"/>
      <c r="R31" s="4636"/>
      <c r="S31" s="4636"/>
      <c r="T31" s="1510"/>
      <c r="U31" s="4636"/>
      <c r="V31" s="4653"/>
      <c r="W31" s="1511"/>
      <c r="X31" s="4636"/>
      <c r="Y31" s="4636"/>
      <c r="Z31" s="1423"/>
      <c r="AA31" s="1513"/>
      <c r="AB31" s="4691"/>
      <c r="AC31" s="4691"/>
      <c r="AD31" s="4691"/>
      <c r="AE31" s="4691"/>
      <c r="AF31" s="4691"/>
      <c r="AG31" s="4691"/>
      <c r="AH31" s="4691"/>
      <c r="AI31" s="4692"/>
      <c r="AJ31" s="1492"/>
    </row>
    <row r="32" spans="4:64" ht="14.25" customHeight="1">
      <c r="D32" s="4697"/>
      <c r="E32" s="4693"/>
      <c r="F32" s="4693"/>
      <c r="G32" s="4685"/>
      <c r="H32" s="1518"/>
      <c r="I32" s="4696"/>
      <c r="J32" s="4653"/>
      <c r="K32" s="1501"/>
      <c r="L32" s="4636"/>
      <c r="M32" s="4636"/>
      <c r="N32" s="1508"/>
      <c r="O32" s="4636"/>
      <c r="P32" s="4653"/>
      <c r="Q32" s="1509"/>
      <c r="R32" s="4636"/>
      <c r="S32" s="4636"/>
      <c r="T32" s="1514"/>
      <c r="U32" s="1515"/>
      <c r="V32" s="4691"/>
      <c r="W32" s="4691"/>
      <c r="X32" s="4691"/>
      <c r="Y32" s="4691"/>
      <c r="Z32" s="4691"/>
      <c r="AA32" s="4691"/>
      <c r="AB32" s="4691"/>
      <c r="AC32" s="4691"/>
      <c r="AD32" s="4691"/>
      <c r="AE32" s="4691"/>
      <c r="AF32" s="4691"/>
      <c r="AG32" s="4691"/>
      <c r="AH32" s="4691"/>
      <c r="AI32" s="4692"/>
      <c r="AJ32" s="1492"/>
    </row>
    <row r="33" spans="4:64" ht="11.25" customHeight="1">
      <c r="D33" s="4697"/>
      <c r="E33" s="4693"/>
      <c r="F33" s="4693"/>
      <c r="G33" s="4685"/>
      <c r="H33" s="1519"/>
      <c r="I33" s="4696"/>
      <c r="J33" s="4653"/>
      <c r="K33" s="1501"/>
      <c r="L33" s="4636"/>
      <c r="M33" s="4636"/>
      <c r="N33" s="1513"/>
      <c r="O33" s="1513"/>
      <c r="P33" s="4691"/>
      <c r="Q33" s="4691"/>
      <c r="R33" s="4691"/>
      <c r="S33" s="4691"/>
      <c r="T33" s="4691"/>
      <c r="U33" s="4691"/>
      <c r="V33" s="4691"/>
      <c r="W33" s="4691"/>
      <c r="X33" s="4691"/>
      <c r="Y33" s="4691"/>
      <c r="Z33" s="4691"/>
      <c r="AA33" s="4691"/>
      <c r="AB33" s="4691"/>
      <c r="AC33" s="4691"/>
      <c r="AD33" s="4691"/>
      <c r="AE33" s="4691"/>
      <c r="AF33" s="4691"/>
      <c r="AG33" s="4691"/>
      <c r="AH33" s="4691"/>
      <c r="AI33" s="4692"/>
      <c r="AJ33" s="1492"/>
    </row>
    <row r="34" spans="4:64" s="1918" customFormat="1" ht="11.25" customHeight="1">
      <c r="D34" s="4701"/>
      <c r="E34" s="4702"/>
      <c r="F34" s="4694"/>
      <c r="G34" s="4613"/>
      <c r="H34" s="1516"/>
      <c r="I34" s="1520"/>
      <c r="J34" s="4699"/>
      <c r="K34" s="4699"/>
      <c r="L34" s="4699"/>
      <c r="M34" s="4699"/>
      <c r="N34" s="4699"/>
      <c r="O34" s="4699"/>
      <c r="P34" s="4699"/>
      <c r="Q34" s="4699"/>
      <c r="R34" s="4699"/>
      <c r="S34" s="4699"/>
      <c r="T34" s="4699"/>
      <c r="U34" s="4699"/>
      <c r="V34" s="4699"/>
      <c r="W34" s="4699"/>
      <c r="X34" s="4699"/>
      <c r="Y34" s="4699"/>
      <c r="Z34" s="4699"/>
      <c r="AA34" s="4699"/>
      <c r="AB34" s="4699"/>
      <c r="AC34" s="4699"/>
      <c r="AD34" s="4699"/>
      <c r="AE34" s="4699"/>
      <c r="AF34" s="4699"/>
      <c r="AG34" s="4699"/>
      <c r="AH34" s="4699"/>
      <c r="AI34" s="4700"/>
      <c r="AJ34" s="1492"/>
      <c r="AK34" s="226"/>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row>
    <row r="35" spans="4:64" ht="14.25" customHeight="1">
      <c r="D35" s="4697" t="s">
        <v>128</v>
      </c>
      <c r="E35" s="4693" t="s">
        <v>432</v>
      </c>
      <c r="F35" s="4693" t="s">
        <v>437</v>
      </c>
      <c r="G35" s="4684" t="s">
        <v>55</v>
      </c>
      <c r="H35" s="1517"/>
      <c r="I35" s="4695"/>
      <c r="J35" s="4652"/>
      <c r="K35" s="1425"/>
      <c r="L35" s="4635"/>
      <c r="M35" s="4635"/>
      <c r="N35" s="1502"/>
      <c r="O35" s="4635"/>
      <c r="P35" s="4652"/>
      <c r="Q35" s="1503"/>
      <c r="R35" s="4635"/>
      <c r="S35" s="4635"/>
      <c r="T35" s="1504"/>
      <c r="U35" s="4635"/>
      <c r="V35" s="4652"/>
      <c r="W35" s="1505"/>
      <c r="X35" s="4635"/>
      <c r="Y35" s="4635"/>
      <c r="Z35" s="1502"/>
      <c r="AA35" s="4635"/>
      <c r="AB35" s="4652"/>
      <c r="AC35" s="1506"/>
      <c r="AD35" s="4635"/>
      <c r="AE35" s="4635"/>
      <c r="AF35" s="1424"/>
      <c r="AG35" s="1424"/>
      <c r="AH35" s="1507"/>
      <c r="AI35" s="1216"/>
      <c r="AJ35" s="1492"/>
    </row>
    <row r="36" spans="4:64" ht="14.25" customHeight="1">
      <c r="D36" s="4697"/>
      <c r="E36" s="4693"/>
      <c r="F36" s="4693"/>
      <c r="G36" s="4685"/>
      <c r="H36" s="1518"/>
      <c r="I36" s="4696"/>
      <c r="J36" s="4653"/>
      <c r="K36" s="1501"/>
      <c r="L36" s="4636"/>
      <c r="M36" s="4636"/>
      <c r="N36" s="1508"/>
      <c r="O36" s="4636"/>
      <c r="P36" s="4653"/>
      <c r="Q36" s="1509"/>
      <c r="R36" s="4636"/>
      <c r="S36" s="4636"/>
      <c r="T36" s="1510"/>
      <c r="U36" s="4636"/>
      <c r="V36" s="4653"/>
      <c r="W36" s="1511"/>
      <c r="X36" s="4636"/>
      <c r="Y36" s="4636"/>
      <c r="Z36" s="1508"/>
      <c r="AA36" s="4636"/>
      <c r="AB36" s="4653"/>
      <c r="AC36" s="1512"/>
      <c r="AD36" s="4636"/>
      <c r="AE36" s="4636"/>
      <c r="AF36" s="1513"/>
      <c r="AG36" s="1513"/>
      <c r="AH36" s="4691"/>
      <c r="AI36" s="4692"/>
      <c r="AJ36" s="1492"/>
    </row>
    <row r="37" spans="4:64" ht="14.25" customHeight="1">
      <c r="D37" s="4697"/>
      <c r="E37" s="4693"/>
      <c r="F37" s="4693"/>
      <c r="G37" s="4685"/>
      <c r="H37" s="1518"/>
      <c r="I37" s="4696"/>
      <c r="J37" s="4653"/>
      <c r="K37" s="1501"/>
      <c r="L37" s="4636"/>
      <c r="M37" s="4636"/>
      <c r="N37" s="1508"/>
      <c r="O37" s="4636"/>
      <c r="P37" s="4653"/>
      <c r="Q37" s="1509"/>
      <c r="R37" s="4636"/>
      <c r="S37" s="4636"/>
      <c r="T37" s="1510"/>
      <c r="U37" s="4636"/>
      <c r="V37" s="4653"/>
      <c r="W37" s="1511"/>
      <c r="X37" s="4636"/>
      <c r="Y37" s="4636"/>
      <c r="Z37" s="1423"/>
      <c r="AA37" s="1513"/>
      <c r="AB37" s="4691"/>
      <c r="AC37" s="4691"/>
      <c r="AD37" s="4691"/>
      <c r="AE37" s="4691"/>
      <c r="AF37" s="4691"/>
      <c r="AG37" s="4691"/>
      <c r="AH37" s="4691"/>
      <c r="AI37" s="4692"/>
      <c r="AJ37" s="1492"/>
    </row>
    <row r="38" spans="4:64" ht="14.25" customHeight="1">
      <c r="D38" s="4697"/>
      <c r="E38" s="4693"/>
      <c r="F38" s="4693"/>
      <c r="G38" s="4685"/>
      <c r="H38" s="1518"/>
      <c r="I38" s="4696"/>
      <c r="J38" s="4653"/>
      <c r="K38" s="1501"/>
      <c r="L38" s="4636"/>
      <c r="M38" s="4636"/>
      <c r="N38" s="1508"/>
      <c r="O38" s="4636"/>
      <c r="P38" s="4653"/>
      <c r="Q38" s="1509"/>
      <c r="R38" s="4636"/>
      <c r="S38" s="4636"/>
      <c r="T38" s="1514"/>
      <c r="U38" s="1515"/>
      <c r="V38" s="4691"/>
      <c r="W38" s="4691"/>
      <c r="X38" s="4691"/>
      <c r="Y38" s="4691"/>
      <c r="Z38" s="4691"/>
      <c r="AA38" s="4691"/>
      <c r="AB38" s="4691"/>
      <c r="AC38" s="4691"/>
      <c r="AD38" s="4691"/>
      <c r="AE38" s="4691"/>
      <c r="AF38" s="4691"/>
      <c r="AG38" s="4691"/>
      <c r="AH38" s="4691"/>
      <c r="AI38" s="4692"/>
      <c r="AJ38" s="1492"/>
    </row>
    <row r="39" spans="4:64" ht="11.25" customHeight="1">
      <c r="D39" s="4697"/>
      <c r="E39" s="4693"/>
      <c r="F39" s="4693"/>
      <c r="G39" s="4685"/>
      <c r="H39" s="1519"/>
      <c r="I39" s="4696"/>
      <c r="J39" s="4653"/>
      <c r="K39" s="1501"/>
      <c r="L39" s="4636"/>
      <c r="M39" s="4636"/>
      <c r="N39" s="1513"/>
      <c r="O39" s="1513"/>
      <c r="P39" s="4691"/>
      <c r="Q39" s="4691"/>
      <c r="R39" s="4691"/>
      <c r="S39" s="4691"/>
      <c r="T39" s="4691"/>
      <c r="U39" s="4691"/>
      <c r="V39" s="4691"/>
      <c r="W39" s="4691"/>
      <c r="X39" s="4691"/>
      <c r="Y39" s="4691"/>
      <c r="Z39" s="4691"/>
      <c r="AA39" s="4691"/>
      <c r="AB39" s="4691"/>
      <c r="AC39" s="4691"/>
      <c r="AD39" s="4691"/>
      <c r="AE39" s="4691"/>
      <c r="AF39" s="4691"/>
      <c r="AG39" s="4691"/>
      <c r="AH39" s="4691"/>
      <c r="AI39" s="4692"/>
      <c r="AJ39" s="1492"/>
    </row>
    <row r="40" spans="4:64" s="1918" customFormat="1" ht="11.25" customHeight="1">
      <c r="D40" s="4697"/>
      <c r="E40" s="4693"/>
      <c r="F40" s="4698"/>
      <c r="G40" s="4613"/>
      <c r="H40" s="1516"/>
      <c r="I40" s="1520"/>
      <c r="J40" s="4699"/>
      <c r="K40" s="4699"/>
      <c r="L40" s="4699"/>
      <c r="M40" s="4699"/>
      <c r="N40" s="4699"/>
      <c r="O40" s="4699"/>
      <c r="P40" s="4699"/>
      <c r="Q40" s="4699"/>
      <c r="R40" s="4699"/>
      <c r="S40" s="4699"/>
      <c r="T40" s="4699"/>
      <c r="U40" s="4699"/>
      <c r="V40" s="4699"/>
      <c r="W40" s="4699"/>
      <c r="X40" s="4699"/>
      <c r="Y40" s="4699"/>
      <c r="Z40" s="4699"/>
      <c r="AA40" s="4699"/>
      <c r="AB40" s="4699"/>
      <c r="AC40" s="4699"/>
      <c r="AD40" s="4699"/>
      <c r="AE40" s="4699"/>
      <c r="AF40" s="4699"/>
      <c r="AG40" s="4699"/>
      <c r="AH40" s="4699"/>
      <c r="AI40" s="4700"/>
      <c r="AJ40" s="1492"/>
      <c r="AK40" s="226"/>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0.5703125" style="1921"/>
    <col min="2" max="2" width="11" style="1921" customWidth="1"/>
    <col min="3" max="3" width="10.5703125" style="1921"/>
    <col min="4" max="4" width="11.85546875" style="1921" customWidth="1"/>
    <col min="5" max="5" width="12.28515625" style="1921" customWidth="1"/>
    <col min="6" max="8" width="12.28515625" style="4569" customWidth="1"/>
    <col min="9" max="9" width="3.7109375" style="4569" customWidth="1"/>
    <col min="10" max="11" width="3.7109375" style="1954" customWidth="1"/>
    <col min="12" max="12" width="12.7109375" style="1955" customWidth="1"/>
    <col min="13" max="13" width="32" style="1921" customWidth="1"/>
    <col min="14" max="14" width="1.7109375" style="1921" customWidth="1"/>
    <col min="15" max="18" width="24.7109375" style="1921" customWidth="1"/>
    <col min="19" max="19" width="11.7109375" style="1921" customWidth="1"/>
    <col min="20" max="20" width="3.7109375" style="1921" customWidth="1"/>
    <col min="21" max="21" width="11.7109375" style="1921" customWidth="1"/>
    <col min="22" max="22" width="8.5703125" style="1921" customWidth="1"/>
    <col min="23" max="23" width="4.7109375" style="1921" customWidth="1"/>
    <col min="24" max="24" width="115.7109375" style="1921"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5010" t="s">
        <v>2269</v>
      </c>
      <c r="M5" s="5010"/>
      <c r="N5" s="5010"/>
      <c r="O5" s="5010"/>
      <c r="P5" s="5010"/>
      <c r="Q5" s="5010"/>
      <c r="R5" s="5010"/>
      <c r="S5" s="5010"/>
      <c r="T5" s="5010"/>
      <c r="U5" s="5010"/>
      <c r="V5" s="1153"/>
    </row>
    <row r="6" spans="6:29" ht="14.25" customHeight="1">
      <c r="J6" s="306"/>
      <c r="K6" s="306"/>
      <c r="L6" s="5011" t="str">
        <f>IF(org=0,"Не определено",org)</f>
        <v>ОГКП "Ульяновский областной водоканал"</v>
      </c>
      <c r="M6" s="5011"/>
      <c r="N6" s="5011"/>
      <c r="O6" s="5011"/>
      <c r="P6" s="5011"/>
      <c r="Q6" s="5011"/>
      <c r="R6" s="5011"/>
      <c r="S6" s="5011"/>
      <c r="T6" s="5011"/>
      <c r="U6" s="5011"/>
      <c r="V6" s="1153"/>
    </row>
    <row r="7" spans="6:29" ht="14.25" customHeight="1">
      <c r="J7" s="306"/>
      <c r="K7" s="306"/>
      <c r="L7" s="1196"/>
      <c r="M7" s="291"/>
      <c r="N7" s="291"/>
      <c r="O7" s="247"/>
      <c r="P7" s="247"/>
      <c r="Q7" s="247"/>
      <c r="R7" s="247"/>
      <c r="S7" s="247"/>
      <c r="T7" s="247"/>
      <c r="U7" s="247"/>
      <c r="V7" s="247"/>
      <c r="W7" s="436"/>
    </row>
    <row r="8" spans="6:29" s="1951" customFormat="1" ht="45" customHeight="1">
      <c r="F8" s="1159"/>
      <c r="G8" s="1159"/>
      <c r="H8" s="1159"/>
      <c r="L8" s="1197"/>
      <c r="M8" s="214" t="s">
        <v>38</v>
      </c>
      <c r="N8" s="223"/>
      <c r="O8" s="4752" t="str">
        <f>IF(TITLE_NAME_OR_PR_CHANGE="",IF(TITLE_NAME_OR_PR="","",TITLE_NAME_OR_PR),TITLE_NAME_OR_PR_CHANGE)</f>
        <v>Агентство по регулированию цен и тарифов Ульяновской области</v>
      </c>
      <c r="P8" s="4752"/>
      <c r="Q8" s="4752"/>
      <c r="R8" s="4752"/>
      <c r="S8" s="4752"/>
      <c r="T8" s="4752"/>
      <c r="U8" s="4752"/>
      <c r="V8" s="253"/>
      <c r="W8" s="253"/>
      <c r="X8" s="200"/>
      <c r="Y8" s="297"/>
      <c r="Z8" s="297"/>
      <c r="AA8" s="297"/>
      <c r="AB8" s="297"/>
      <c r="AC8" s="297"/>
    </row>
    <row r="9" spans="6:29" s="1951" customFormat="1" ht="22.5" customHeight="1">
      <c r="F9" s="1159"/>
      <c r="G9" s="1159"/>
      <c r="H9" s="1159"/>
      <c r="L9" s="1197"/>
      <c r="M9" s="214" t="s">
        <v>562</v>
      </c>
      <c r="N9" s="223"/>
      <c r="O9" s="4752">
        <f>IF(TITLE_DATE_CHANGE_PERIOD="",IF(TITLE_DATE_PR="","",TITLE_DATE_PR),TITLE_DATE_CHANGE_PERIOD)</f>
        <v>45279.639965277776</v>
      </c>
      <c r="P9" s="4752"/>
      <c r="Q9" s="4752"/>
      <c r="R9" s="4752"/>
      <c r="S9" s="4752"/>
      <c r="T9" s="4752"/>
      <c r="U9" s="4752"/>
      <c r="V9" s="253"/>
      <c r="W9" s="253"/>
      <c r="X9" s="200"/>
      <c r="Y9" s="297"/>
      <c r="Z9" s="297"/>
      <c r="AA9" s="297"/>
      <c r="AB9" s="297"/>
      <c r="AC9" s="297"/>
    </row>
    <row r="10" spans="6:29" s="1951" customFormat="1" ht="22.5" customHeight="1">
      <c r="F10" s="1159"/>
      <c r="G10" s="1159"/>
      <c r="H10" s="1159"/>
      <c r="L10" s="1161"/>
      <c r="M10" s="214" t="s">
        <v>563</v>
      </c>
      <c r="N10" s="223"/>
      <c r="O10" s="4752" t="str">
        <f>IF(TITLE_NUMBER_PR_CHANGE="",IF(TITLE_NUMBER_PR="","",TITLE_NUMBER_PR),TITLE_NUMBER_PR_CHANGE)</f>
        <v>233-П</v>
      </c>
      <c r="P10" s="4752"/>
      <c r="Q10" s="4752"/>
      <c r="R10" s="4752"/>
      <c r="S10" s="4752"/>
      <c r="T10" s="4752"/>
      <c r="U10" s="4752"/>
      <c r="V10" s="253"/>
      <c r="W10" s="253"/>
      <c r="X10" s="200"/>
      <c r="Y10" s="297"/>
      <c r="Z10" s="297"/>
      <c r="AA10" s="297"/>
      <c r="AB10" s="297"/>
      <c r="AC10" s="297"/>
    </row>
    <row r="11" spans="6:29" s="1951" customFormat="1" ht="22.5" customHeight="1">
      <c r="F11" s="1159"/>
      <c r="G11" s="1159"/>
      <c r="H11" s="1159"/>
      <c r="L11" s="1161"/>
      <c r="M11" s="214" t="s">
        <v>40</v>
      </c>
      <c r="N11" s="223"/>
      <c r="O11" s="4752" t="str">
        <f>IF(TITLE_IST_PUB_CHANGE="",IF(TITLE_IST_PUB="","",TITLE_IST_PUB),TITLE_IST_PUB_CHANGE)</f>
        <v>сайт Агентства по регулированию цен и тарифов Ульяновской области</v>
      </c>
      <c r="P11" s="4752"/>
      <c r="Q11" s="4752"/>
      <c r="R11" s="4752"/>
      <c r="S11" s="4752"/>
      <c r="T11" s="4752"/>
      <c r="U11" s="4752"/>
      <c r="V11" s="253"/>
      <c r="W11" s="253"/>
      <c r="X11" s="200"/>
      <c r="Y11" s="297"/>
      <c r="Z11" s="297"/>
      <c r="AA11" s="297"/>
      <c r="AB11" s="297"/>
      <c r="AC11" s="297"/>
    </row>
    <row r="12" spans="6:29" s="1951" customFormat="1" ht="11.25" hidden="1" customHeight="1">
      <c r="F12" s="1159"/>
      <c r="G12" s="1159"/>
      <c r="H12" s="1159"/>
      <c r="L12" s="5012"/>
      <c r="M12" s="5012"/>
      <c r="N12" s="1207"/>
      <c r="O12" s="253"/>
      <c r="P12" s="253"/>
      <c r="Q12" s="253"/>
      <c r="R12" s="253"/>
      <c r="S12" s="253"/>
      <c r="T12" s="253"/>
      <c r="U12" s="253"/>
      <c r="V12" s="198" t="s">
        <v>566</v>
      </c>
      <c r="Y12" s="297"/>
      <c r="Z12" s="297"/>
      <c r="AA12" s="297"/>
      <c r="AB12" s="297"/>
      <c r="AC12" s="297"/>
    </row>
    <row r="13" spans="6:29" ht="14.25" customHeight="1">
      <c r="J13" s="306"/>
      <c r="K13" s="306"/>
      <c r="L13" s="1196"/>
      <c r="M13" s="291"/>
      <c r="N13" s="1154"/>
      <c r="O13" s="4753"/>
      <c r="P13" s="4753"/>
      <c r="Q13" s="4753"/>
      <c r="R13" s="4753"/>
      <c r="S13" s="4753"/>
      <c r="T13" s="4753"/>
      <c r="U13" s="4753"/>
      <c r="V13" s="4753"/>
    </row>
    <row r="14" spans="6:29" ht="14.25" customHeight="1">
      <c r="J14" s="306"/>
      <c r="K14" s="306"/>
      <c r="L14" s="4627" t="s">
        <v>439</v>
      </c>
      <c r="M14" s="4627"/>
      <c r="N14" s="4627"/>
      <c r="O14" s="4627"/>
      <c r="P14" s="4627"/>
      <c r="Q14" s="4627"/>
      <c r="R14" s="4627"/>
      <c r="S14" s="4627"/>
      <c r="T14" s="4627"/>
      <c r="U14" s="4627"/>
      <c r="V14" s="4627"/>
      <c r="W14" s="4627"/>
      <c r="X14" s="4627" t="s">
        <v>440</v>
      </c>
    </row>
    <row r="15" spans="6:29" ht="14.25" customHeight="1">
      <c r="J15" s="306"/>
      <c r="K15" s="306"/>
      <c r="L15" s="4767" t="s">
        <v>86</v>
      </c>
      <c r="M15" s="4719" t="s">
        <v>567</v>
      </c>
      <c r="N15" s="220"/>
      <c r="O15" s="4768" t="s">
        <v>2270</v>
      </c>
      <c r="P15" s="4769"/>
      <c r="Q15" s="4769"/>
      <c r="R15" s="4769"/>
      <c r="S15" s="4769"/>
      <c r="T15" s="4769"/>
      <c r="U15" s="4770"/>
      <c r="V15" s="4771" t="s">
        <v>569</v>
      </c>
      <c r="W15" s="4774" t="s">
        <v>1195</v>
      </c>
      <c r="X15" s="4627"/>
    </row>
    <row r="16" spans="6:29" ht="33.75" customHeight="1">
      <c r="J16" s="306"/>
      <c r="K16" s="306"/>
      <c r="L16" s="4767"/>
      <c r="M16" s="4719"/>
      <c r="N16" s="939"/>
      <c r="O16" s="4689" t="s">
        <v>572</v>
      </c>
      <c r="P16" s="4689" t="s">
        <v>573</v>
      </c>
      <c r="Q16" s="4598" t="s">
        <v>574</v>
      </c>
      <c r="R16" s="4597"/>
      <c r="S16" s="4598" t="s">
        <v>587</v>
      </c>
      <c r="T16" s="4604"/>
      <c r="U16" s="4597"/>
      <c r="V16" s="4772"/>
      <c r="W16" s="4775"/>
      <c r="X16" s="4627"/>
    </row>
    <row r="17" spans="1:29" ht="33.75" customHeight="1">
      <c r="A17" s="1180" t="s">
        <v>196</v>
      </c>
      <c r="B17" s="1180" t="s">
        <v>197</v>
      </c>
      <c r="C17" s="1180" t="s">
        <v>198</v>
      </c>
      <c r="D17" s="1180" t="s">
        <v>199</v>
      </c>
      <c r="E17" s="1180"/>
      <c r="J17" s="306"/>
      <c r="K17" s="306"/>
      <c r="L17" s="4767"/>
      <c r="M17" s="4719"/>
      <c r="N17" s="221"/>
      <c r="O17" s="4738"/>
      <c r="P17" s="4738"/>
      <c r="Q17" s="1129" t="s">
        <v>583</v>
      </c>
      <c r="R17" s="1129" t="s">
        <v>584</v>
      </c>
      <c r="S17" s="1212" t="s">
        <v>585</v>
      </c>
      <c r="T17" s="4727" t="s">
        <v>586</v>
      </c>
      <c r="U17" s="4729"/>
      <c r="V17" s="4773"/>
      <c r="W17" s="4776"/>
      <c r="X17" s="4627"/>
    </row>
    <row r="18" spans="1:29" s="1820" customFormat="1" ht="11.25" customHeight="1">
      <c r="A18" s="1180"/>
      <c r="B18" s="1180"/>
      <c r="C18" s="1180"/>
      <c r="D18" s="1180"/>
      <c r="E18" s="1180"/>
      <c r="F18" s="1206"/>
      <c r="G18" s="1206"/>
      <c r="H18" s="1206"/>
      <c r="I18" s="1156"/>
      <c r="J18" s="1157"/>
      <c r="K18" s="1172">
        <v>1</v>
      </c>
      <c r="L18" s="1198" t="s">
        <v>174</v>
      </c>
      <c r="M18" s="1173" t="s">
        <v>101</v>
      </c>
      <c r="N18" s="1155" t="str">
        <f ca="1">OFFSET(N18,0,-1)</f>
        <v>2</v>
      </c>
      <c r="O18" s="1209">
        <f ca="1">OFFSET(O18,0,-1)+1</f>
        <v>3</v>
      </c>
      <c r="P18" s="1209"/>
      <c r="Q18" s="1209">
        <f ca="1">OFFSET(Q18,0,-1)+1</f>
        <v>1</v>
      </c>
      <c r="R18" s="1209">
        <f ca="1">OFFSET(R18,0,-1)+1</f>
        <v>2</v>
      </c>
      <c r="S18" s="1209">
        <f ca="1">OFFSET(S18,0,-1)+1</f>
        <v>3</v>
      </c>
      <c r="T18" s="4766">
        <f ca="1">OFFSET(T18,0,-1)+1</f>
        <v>4</v>
      </c>
      <c r="U18" s="4766"/>
      <c r="V18" s="1209">
        <f ca="1">OFFSET(V18,0,-2)+1</f>
        <v>5</v>
      </c>
      <c r="W18" s="1155">
        <f ca="1">OFFSET(W18,0,-1)</f>
        <v>5</v>
      </c>
      <c r="X18" s="1209">
        <f ca="1">OFFSET(X18,0,-1)+1</f>
        <v>6</v>
      </c>
      <c r="Y18" s="438"/>
      <c r="Z18" s="438"/>
      <c r="AA18" s="438"/>
      <c r="AB18" s="438"/>
      <c r="AC18" s="438"/>
    </row>
    <row r="19" spans="1:29" ht="21" customHeight="1">
      <c r="A19" s="1187" t="s">
        <v>2280</v>
      </c>
      <c r="B19" s="1187" t="s">
        <v>2281</v>
      </c>
      <c r="C19" s="1187" t="s">
        <v>2282</v>
      </c>
      <c r="D19" s="1187" t="s">
        <v>2283</v>
      </c>
      <c r="E19" s="1187"/>
      <c r="F19" s="609"/>
      <c r="G19" s="609"/>
      <c r="H19" s="609"/>
      <c r="I19" s="287"/>
      <c r="J19" s="286"/>
      <c r="K19" s="281"/>
      <c r="L19" s="1213" t="e">
        <f>INDEX(PT_DIFFERENTIATION_NUM_NTAR,MATCH(A19,PT_DIFFERENTIATION_NTAR_ID,0))</f>
        <v>#N/A</v>
      </c>
      <c r="M19" s="217" t="s">
        <v>185</v>
      </c>
      <c r="N19" s="219"/>
      <c r="O19" s="5013" t="e">
        <f>INDEX(PT_DIFFERENTIATION_NTAR,MATCH(A19,PT_DIFFERENTIATION_NTAR_ID,0))</f>
        <v>#N/A</v>
      </c>
      <c r="P19" s="5013"/>
      <c r="Q19" s="5013"/>
      <c r="R19" s="5013"/>
      <c r="S19" s="5013"/>
      <c r="T19" s="5013"/>
      <c r="U19" s="5013"/>
      <c r="V19" s="5013"/>
      <c r="W19" s="5013"/>
      <c r="X19" s="1178" t="s">
        <v>537</v>
      </c>
      <c r="Z19" s="427"/>
      <c r="AA19" s="427" t="str">
        <f t="shared" ref="AA19:AA32" si="0">IF(M19="","",M19)</f>
        <v>Наименование тарифа</v>
      </c>
      <c r="AB19" s="427"/>
      <c r="AC19" s="427"/>
    </row>
    <row r="20" spans="1:29" ht="21" customHeight="1">
      <c r="A20" s="1187" t="s">
        <v>2280</v>
      </c>
      <c r="B20" s="1187" t="s">
        <v>2281</v>
      </c>
      <c r="C20" s="1187" t="s">
        <v>2282</v>
      </c>
      <c r="D20" s="1187" t="s">
        <v>2283</v>
      </c>
      <c r="E20" s="1187"/>
      <c r="F20" s="609"/>
      <c r="G20" s="609"/>
      <c r="H20" s="609"/>
      <c r="I20" s="1210"/>
      <c r="J20" s="278"/>
      <c r="K20" s="279"/>
      <c r="L20" s="1213" t="e">
        <f>INDEX(PT_DIFFERENTIATION_NUM_TER,MATCH(B19,PT_DIFFERENTIATION_TER_ID,0))</f>
        <v>#N/A</v>
      </c>
      <c r="M20" s="229" t="s">
        <v>538</v>
      </c>
      <c r="N20" s="219"/>
      <c r="O20" s="5013" t="e">
        <f>INDEX(PT_DIFFERENTIATION_TER,MATCH(B19,PT_DIFFERENTIATION_TER_ID,0))</f>
        <v>#N/A</v>
      </c>
      <c r="P20" s="5013"/>
      <c r="Q20" s="5013"/>
      <c r="R20" s="5013"/>
      <c r="S20" s="5013"/>
      <c r="T20" s="5013"/>
      <c r="U20" s="5013"/>
      <c r="V20" s="5013"/>
      <c r="W20" s="5013"/>
      <c r="X20" s="1178" t="s">
        <v>539</v>
      </c>
      <c r="Z20" s="427"/>
      <c r="AA20" s="427" t="str">
        <f t="shared" si="0"/>
        <v>Территория действия тарифа</v>
      </c>
      <c r="AB20" s="427"/>
      <c r="AC20" s="427"/>
    </row>
    <row r="21" spans="1:29" ht="22.5" customHeight="1">
      <c r="A21" s="1187" t="s">
        <v>2280</v>
      </c>
      <c r="B21" s="1187" t="s">
        <v>2281</v>
      </c>
      <c r="C21" s="1187" t="s">
        <v>2282</v>
      </c>
      <c r="D21" s="1187" t="s">
        <v>2283</v>
      </c>
      <c r="E21" s="1187"/>
      <c r="F21" s="609"/>
      <c r="G21" s="609"/>
      <c r="H21" s="609"/>
      <c r="I21" s="280"/>
      <c r="J21" s="278"/>
      <c r="K21" s="279"/>
      <c r="L21" s="1213" t="e">
        <f>INDEX(PT_DIFFERENTIATION_NUM_CS,MATCH(C19,PT_DIFFERENTIATION_CS_ID,0))</f>
        <v>#N/A</v>
      </c>
      <c r="M21" s="230" t="s">
        <v>540</v>
      </c>
      <c r="N21" s="219"/>
      <c r="O21" s="5013" t="e">
        <f>INDEX(PT_DIFFERENTIATION_CS,MATCH(C19,PT_DIFFERENTIATION_CS_ID,0))</f>
        <v>#N/A</v>
      </c>
      <c r="P21" s="5013"/>
      <c r="Q21" s="5013"/>
      <c r="R21" s="5013"/>
      <c r="S21" s="5013"/>
      <c r="T21" s="5013"/>
      <c r="U21" s="5013"/>
      <c r="V21" s="5013"/>
      <c r="W21" s="5013"/>
      <c r="X21" s="1178" t="s">
        <v>541</v>
      </c>
      <c r="Z21" s="427"/>
      <c r="AA21" s="427" t="str">
        <f t="shared" si="0"/>
        <v xml:space="preserve">Наименование системы теплоснабжения </v>
      </c>
      <c r="AB21" s="427"/>
      <c r="AC21" s="427"/>
    </row>
    <row r="22" spans="1:29" ht="21" customHeight="1">
      <c r="A22" s="1187" t="s">
        <v>2280</v>
      </c>
      <c r="B22" s="1187" t="s">
        <v>2281</v>
      </c>
      <c r="C22" s="1187" t="s">
        <v>2282</v>
      </c>
      <c r="D22" s="1187" t="s">
        <v>2283</v>
      </c>
      <c r="E22" s="1187"/>
      <c r="F22" s="609"/>
      <c r="G22" s="609"/>
      <c r="H22" s="609"/>
      <c r="I22" s="280"/>
      <c r="J22" s="278"/>
      <c r="K22" s="279"/>
      <c r="L22" s="1213" t="e">
        <f>INDEX(PT_DIFFERENTIATION_NUM_IST_TE,MATCH(D19,PT_DIFFERENTIATION_IST_TE_ID,0))</f>
        <v>#N/A</v>
      </c>
      <c r="M22" s="231" t="s">
        <v>542</v>
      </c>
      <c r="N22" s="219"/>
      <c r="O22" s="5013" t="e">
        <f>INDEX(PT_DIFFERENTIATION_IST_TE,MATCH(D19,PT_DIFFERENTIATION_IST_TE_ID,0))</f>
        <v>#N/A</v>
      </c>
      <c r="P22" s="5013"/>
      <c r="Q22" s="5013"/>
      <c r="R22" s="5013"/>
      <c r="S22" s="5013"/>
      <c r="T22" s="5013"/>
      <c r="U22" s="5013"/>
      <c r="V22" s="5013"/>
      <c r="W22" s="5013"/>
      <c r="X22" s="1178" t="s">
        <v>543</v>
      </c>
      <c r="Z22" s="427"/>
      <c r="AA22" s="427" t="str">
        <f t="shared" si="0"/>
        <v xml:space="preserve">Источник тепловой энергии  </v>
      </c>
      <c r="AB22" s="427"/>
      <c r="AC22" s="427"/>
    </row>
    <row r="23" spans="1:29" ht="94.5" customHeight="1">
      <c r="A23" s="1187" t="s">
        <v>2280</v>
      </c>
      <c r="B23" s="1187" t="s">
        <v>2281</v>
      </c>
      <c r="C23" s="1187" t="s">
        <v>2282</v>
      </c>
      <c r="D23" s="1187" t="s">
        <v>2283</v>
      </c>
      <c r="E23" s="1187"/>
      <c r="F23" s="4601" t="e">
        <f>L22&amp;".1"</f>
        <v>#N/A</v>
      </c>
      <c r="I23" s="4758">
        <v>1</v>
      </c>
      <c r="J23" s="1211"/>
      <c r="K23" s="282"/>
      <c r="L23" s="1213" t="e">
        <f>$F$23</f>
        <v>#N/A</v>
      </c>
      <c r="M23" s="204" t="s">
        <v>545</v>
      </c>
      <c r="N23" s="219"/>
      <c r="O23" s="5014"/>
      <c r="P23" s="5014"/>
      <c r="Q23" s="5014"/>
      <c r="R23" s="5014"/>
      <c r="S23" s="5014"/>
      <c r="T23" s="5014"/>
      <c r="U23" s="5014"/>
      <c r="V23" s="5014"/>
      <c r="W23" s="5014"/>
      <c r="X23" s="1178" t="s">
        <v>546</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2280</v>
      </c>
      <c r="B24" s="1187" t="s">
        <v>2281</v>
      </c>
      <c r="C24" s="1187" t="s">
        <v>2282</v>
      </c>
      <c r="D24" s="1187" t="s">
        <v>2283</v>
      </c>
      <c r="E24" s="1187"/>
      <c r="F24" s="4601"/>
      <c r="G24" s="4601" t="e">
        <f>F23&amp;".1"</f>
        <v>#N/A</v>
      </c>
      <c r="I24" s="4758"/>
      <c r="J24" s="4758">
        <v>1</v>
      </c>
      <c r="K24" s="283"/>
      <c r="L24" s="1213" t="e">
        <f>$G$24</f>
        <v>#N/A</v>
      </c>
      <c r="M24" s="205" t="s">
        <v>548</v>
      </c>
      <c r="N24" s="219"/>
      <c r="O24" s="5015"/>
      <c r="P24" s="5016"/>
      <c r="Q24" s="5016"/>
      <c r="R24" s="5016"/>
      <c r="S24" s="5016"/>
      <c r="T24" s="5016"/>
      <c r="U24" s="5016"/>
      <c r="V24" s="5016"/>
      <c r="W24" s="5017"/>
      <c r="X24" s="1178" t="s">
        <v>549</v>
      </c>
      <c r="Z24" s="427"/>
      <c r="AA24" s="427" t="str">
        <f t="shared" si="0"/>
        <v>Группа потребителей</v>
      </c>
      <c r="AB24" s="427"/>
      <c r="AC24" s="427"/>
    </row>
    <row r="25" spans="1:29" ht="11.25" customHeight="1">
      <c r="A25" s="1187" t="s">
        <v>2280</v>
      </c>
      <c r="B25" s="1187" t="s">
        <v>2281</v>
      </c>
      <c r="C25" s="1187" t="s">
        <v>2282</v>
      </c>
      <c r="D25" s="1187" t="s">
        <v>2283</v>
      </c>
      <c r="E25" s="1187"/>
      <c r="F25" s="4601"/>
      <c r="G25" s="4601"/>
      <c r="H25" s="4601" t="e">
        <f>G24&amp;".1"</f>
        <v>#N/A</v>
      </c>
      <c r="I25" s="4758"/>
      <c r="J25" s="4758"/>
      <c r="K25" s="283">
        <v>1</v>
      </c>
      <c r="L25" s="1213" t="e">
        <f>$H$25</f>
        <v>#N/A</v>
      </c>
      <c r="M25" s="1179"/>
      <c r="N25" s="219"/>
      <c r="O25" s="669"/>
      <c r="P25" s="251"/>
      <c r="Q25" s="669"/>
      <c r="R25" s="1177"/>
      <c r="S25" s="4762"/>
      <c r="T25" s="4608" t="s">
        <v>65</v>
      </c>
      <c r="U25" s="4762"/>
      <c r="V25" s="4608" t="s">
        <v>55</v>
      </c>
      <c r="W25" s="251"/>
      <c r="X25" s="4754" t="s">
        <v>551</v>
      </c>
      <c r="Y25" s="438" t="e">
        <f ca="1">STRCHECKDATE(O26:W26)</f>
        <v>#NAME?</v>
      </c>
      <c r="Z25" s="427"/>
      <c r="AA25" s="427" t="str">
        <f t="shared" si="0"/>
        <v/>
      </c>
      <c r="AB25" s="427"/>
      <c r="AC25" s="427"/>
    </row>
    <row r="26" spans="1:29" ht="11.25" customHeight="1">
      <c r="A26" s="1187" t="s">
        <v>2280</v>
      </c>
      <c r="B26" s="1187" t="s">
        <v>2281</v>
      </c>
      <c r="C26" s="1187" t="s">
        <v>2282</v>
      </c>
      <c r="D26" s="1187" t="s">
        <v>2283</v>
      </c>
      <c r="E26" s="1187"/>
      <c r="F26" s="4601"/>
      <c r="G26" s="4601"/>
      <c r="H26" s="4601"/>
      <c r="I26" s="4758"/>
      <c r="J26" s="4758"/>
      <c r="K26" s="283"/>
      <c r="L26" s="1214"/>
      <c r="M26" s="219"/>
      <c r="N26" s="219"/>
      <c r="O26" s="251"/>
      <c r="P26" s="251"/>
      <c r="Q26" s="251"/>
      <c r="R26" s="255" t="str">
        <f>S25&amp;"-"&amp;U25</f>
        <v>-</v>
      </c>
      <c r="S26" s="4763"/>
      <c r="T26" s="4608"/>
      <c r="U26" s="4763"/>
      <c r="V26" s="4608"/>
      <c r="W26" s="251"/>
      <c r="X26" s="4755"/>
      <c r="Z26" s="427"/>
      <c r="AA26" s="427" t="str">
        <f t="shared" si="0"/>
        <v/>
      </c>
      <c r="AB26" s="427"/>
      <c r="AC26" s="427"/>
    </row>
    <row r="27" spans="1:29" ht="15" customHeight="1">
      <c r="A27" s="1187" t="s">
        <v>2280</v>
      </c>
      <c r="B27" s="1187" t="s">
        <v>2281</v>
      </c>
      <c r="C27" s="1187" t="s">
        <v>2282</v>
      </c>
      <c r="D27" s="1187" t="s">
        <v>2283</v>
      </c>
      <c r="E27" s="1187"/>
      <c r="F27" s="4601"/>
      <c r="G27" s="4601"/>
      <c r="I27" s="4758"/>
      <c r="J27" s="4758"/>
      <c r="K27" s="282"/>
      <c r="L27" s="1199"/>
      <c r="M27" s="207" t="s">
        <v>552</v>
      </c>
      <c r="N27" s="296"/>
      <c r="O27" s="296"/>
      <c r="P27" s="296"/>
      <c r="Q27" s="296"/>
      <c r="R27" s="296"/>
      <c r="S27" s="296"/>
      <c r="T27" s="296"/>
      <c r="U27" s="296"/>
      <c r="V27" s="296"/>
      <c r="W27" s="250"/>
      <c r="X27" s="4756"/>
      <c r="Z27" s="427"/>
      <c r="AA27" s="427" t="str">
        <f t="shared" si="0"/>
        <v>Добавить вид теплоносителя (параметры теплоносителя)</v>
      </c>
      <c r="AB27" s="427"/>
      <c r="AC27" s="427"/>
    </row>
    <row r="28" spans="1:29" ht="15" customHeight="1">
      <c r="A28" s="1187" t="s">
        <v>2280</v>
      </c>
      <c r="B28" s="1187" t="s">
        <v>2281</v>
      </c>
      <c r="C28" s="1187" t="s">
        <v>2282</v>
      </c>
      <c r="D28" s="1187" t="s">
        <v>2283</v>
      </c>
      <c r="E28" s="1187"/>
      <c r="F28" s="4601"/>
      <c r="I28" s="4758"/>
      <c r="J28" s="1211"/>
      <c r="K28" s="282"/>
      <c r="L28" s="1199"/>
      <c r="M28" s="206" t="s">
        <v>553</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2280</v>
      </c>
      <c r="B29" s="1187" t="s">
        <v>2281</v>
      </c>
      <c r="C29" s="1187" t="s">
        <v>2282</v>
      </c>
      <c r="D29" s="1187" t="s">
        <v>2283</v>
      </c>
      <c r="E29" s="1187"/>
      <c r="F29" s="609"/>
      <c r="G29" s="609"/>
      <c r="H29" s="436"/>
      <c r="I29" s="286"/>
      <c r="J29" s="305"/>
      <c r="K29" s="281"/>
      <c r="L29" s="1199"/>
      <c r="M29" s="293" t="s">
        <v>554</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2280</v>
      </c>
      <c r="B30" s="1187" t="s">
        <v>2281</v>
      </c>
      <c r="C30" s="1187" t="s">
        <v>2282</v>
      </c>
      <c r="D30" s="1187"/>
      <c r="E30" s="1187" t="s">
        <v>721</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2280</v>
      </c>
      <c r="B31" s="1187" t="s">
        <v>2281</v>
      </c>
      <c r="C31" s="1187"/>
      <c r="D31" s="1187"/>
      <c r="E31" s="1187" t="s">
        <v>2271</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2284</v>
      </c>
      <c r="B32" s="1187"/>
      <c r="C32" s="1187"/>
      <c r="D32" s="1187"/>
      <c r="E32" s="1187" t="s">
        <v>169</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4548" customFormat="1" ht="11.25" customHeight="1">
      <c r="A33" s="1187"/>
      <c r="B33" s="1187"/>
      <c r="C33" s="1187"/>
      <c r="D33" s="1187"/>
      <c r="E33" s="1187" t="s">
        <v>407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853</v>
      </c>
      <c r="M35" s="4779" t="s">
        <v>2273</v>
      </c>
      <c r="N35" s="4779"/>
      <c r="O35" s="4779"/>
      <c r="P35" s="4779"/>
      <c r="Q35" s="4779"/>
      <c r="R35" s="4779"/>
      <c r="S35" s="4779"/>
      <c r="T35" s="4779"/>
      <c r="U35" s="4779"/>
      <c r="V35" s="4779"/>
      <c r="W35" s="4779"/>
      <c r="X35" s="4779"/>
    </row>
    <row r="36" spans="1:29" ht="104.25" customHeight="1">
      <c r="F36" s="1223"/>
      <c r="G36" s="1223"/>
      <c r="H36" s="436"/>
      <c r="I36" s="1223"/>
      <c r="M36" s="4779" t="s">
        <v>2274</v>
      </c>
      <c r="N36" s="4779"/>
      <c r="O36" s="4779"/>
      <c r="P36" s="4779"/>
      <c r="Q36" s="4779"/>
      <c r="R36" s="4779"/>
      <c r="S36" s="4779"/>
      <c r="T36" s="4779"/>
      <c r="U36" s="4779"/>
      <c r="V36" s="4779"/>
      <c r="W36" s="4779"/>
      <c r="X36" s="4779"/>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theme="6" tint="0.39997558519241921"/>
  </sheetPr>
  <dimension ref="A1:AC32"/>
  <sheetViews>
    <sheetView showGridLines="0" topLeftCell="A4" workbookViewId="0"/>
  </sheetViews>
  <sheetFormatPr defaultColWidth="10.5703125" defaultRowHeight="14.25" customHeight="1"/>
  <cols>
    <col min="1" max="6" width="10.5703125" style="1821"/>
    <col min="7" max="8" width="9.140625" style="1957" customWidth="1"/>
    <col min="9" max="9" width="3.7109375" style="1953" customWidth="1"/>
    <col min="10" max="11" width="3.7109375" style="1954" customWidth="1"/>
    <col min="12" max="12" width="12.7109375" style="1921" customWidth="1"/>
    <col min="13" max="13" width="47.42578125" style="1921" customWidth="1"/>
    <col min="14" max="14" width="2.7109375" style="1921" hidden="1" customWidth="1"/>
    <col min="15" max="18" width="23.7109375" style="1921" customWidth="1"/>
    <col min="19" max="19" width="11.7109375" style="1921" customWidth="1"/>
    <col min="20" max="20" width="3.7109375" style="1921" customWidth="1"/>
    <col min="21" max="21" width="11.7109375" style="1921" customWidth="1"/>
    <col min="22" max="22" width="8.5703125" style="1921" hidden="1" customWidth="1"/>
    <col min="23" max="23" width="4.7109375" style="1921" customWidth="1"/>
    <col min="24" max="24" width="115.7109375" style="1921" customWidth="1"/>
    <col min="25" max="29" width="10.5703125" style="1821"/>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5018" t="s">
        <v>2285</v>
      </c>
      <c r="M5" s="5018"/>
      <c r="N5" s="5018"/>
      <c r="O5" s="5018"/>
      <c r="P5" s="5018"/>
      <c r="Q5" s="5018"/>
      <c r="R5" s="5018"/>
      <c r="S5" s="5018"/>
      <c r="T5" s="5018"/>
      <c r="U5" s="196"/>
      <c r="V5" s="196"/>
    </row>
    <row r="6" spans="1:29" ht="14.25" customHeight="1">
      <c r="J6" s="306"/>
      <c r="K6" s="306"/>
      <c r="L6" s="291"/>
      <c r="M6" s="291"/>
      <c r="N6" s="291"/>
      <c r="O6" s="247"/>
      <c r="P6" s="247"/>
      <c r="Q6" s="247"/>
      <c r="R6" s="247"/>
      <c r="S6" s="247"/>
      <c r="T6" s="247"/>
      <c r="U6" s="291"/>
    </row>
    <row r="7" spans="1:29" s="1951" customFormat="1" ht="22.5" customHeight="1">
      <c r="A7" s="297"/>
      <c r="B7" s="297"/>
      <c r="C7" s="297"/>
      <c r="D7" s="297"/>
      <c r="E7" s="297"/>
      <c r="F7" s="297"/>
      <c r="G7" s="297"/>
      <c r="H7" s="297"/>
      <c r="L7" s="197"/>
      <c r="M7" s="214" t="s">
        <v>38</v>
      </c>
      <c r="N7" s="223"/>
      <c r="O7" s="5019" t="e">
        <f>IF(NameOrPr_ch="",IF(NameOrPr="","",NameOrPr),NameOrPr_ch)</f>
        <v>#NAME?</v>
      </c>
      <c r="P7" s="5020"/>
      <c r="Q7" s="5020"/>
      <c r="R7" s="5020"/>
      <c r="S7" s="5020"/>
      <c r="T7" s="5021"/>
      <c r="U7" s="1158"/>
      <c r="Y7" s="297"/>
      <c r="Z7" s="297"/>
      <c r="AA7" s="297"/>
      <c r="AB7" s="297"/>
      <c r="AC7" s="297"/>
    </row>
    <row r="8" spans="1:29" s="1951" customFormat="1" ht="18.75" customHeight="1">
      <c r="A8" s="297"/>
      <c r="B8" s="297"/>
      <c r="C8" s="297"/>
      <c r="D8" s="297"/>
      <c r="E8" s="297"/>
      <c r="F8" s="297"/>
      <c r="G8" s="297"/>
      <c r="H8" s="297"/>
      <c r="L8" s="197"/>
      <c r="M8" s="214" t="s">
        <v>562</v>
      </c>
      <c r="N8" s="223"/>
      <c r="O8" s="5019" t="e">
        <f>IF(datePr_ch="",IF(datePr="","",datePr),datePr_ch)</f>
        <v>#NAME?</v>
      </c>
      <c r="P8" s="5020"/>
      <c r="Q8" s="5020"/>
      <c r="R8" s="5020"/>
      <c r="S8" s="5020"/>
      <c r="T8" s="5021"/>
      <c r="U8" s="1158"/>
      <c r="Y8" s="297"/>
      <c r="Z8" s="297"/>
      <c r="AA8" s="297"/>
      <c r="AB8" s="297"/>
      <c r="AC8" s="297"/>
    </row>
    <row r="9" spans="1:29" s="1951" customFormat="1" ht="18.75" customHeight="1">
      <c r="A9" s="297"/>
      <c r="B9" s="297"/>
      <c r="C9" s="297"/>
      <c r="D9" s="297"/>
      <c r="E9" s="297"/>
      <c r="F9" s="297"/>
      <c r="G9" s="297"/>
      <c r="H9" s="297"/>
      <c r="L9" s="249"/>
      <c r="M9" s="214" t="s">
        <v>563</v>
      </c>
      <c r="N9" s="223"/>
      <c r="O9" s="5019" t="e">
        <f>IF(numberPr_ch="",IF(numberPr="","",numberPr),numberPr_ch)</f>
        <v>#NAME?</v>
      </c>
      <c r="P9" s="5020"/>
      <c r="Q9" s="5020"/>
      <c r="R9" s="5020"/>
      <c r="S9" s="5020"/>
      <c r="T9" s="5021"/>
      <c r="U9" s="1158"/>
      <c r="Y9" s="297"/>
      <c r="Z9" s="297"/>
      <c r="AA9" s="297"/>
      <c r="AB9" s="297"/>
      <c r="AC9" s="297"/>
    </row>
    <row r="10" spans="1:29" s="1951" customFormat="1" ht="18.75" customHeight="1">
      <c r="A10" s="297"/>
      <c r="B10" s="297"/>
      <c r="C10" s="297"/>
      <c r="D10" s="297"/>
      <c r="E10" s="297"/>
      <c r="F10" s="297"/>
      <c r="G10" s="297"/>
      <c r="H10" s="297"/>
      <c r="L10" s="249"/>
      <c r="M10" s="214" t="s">
        <v>40</v>
      </c>
      <c r="N10" s="223"/>
      <c r="O10" s="5019" t="e">
        <f>IF(IstPub_ch="",IF(IstPub="","",IstPub),IstPub_ch)</f>
        <v>#NAME?</v>
      </c>
      <c r="P10" s="5020"/>
      <c r="Q10" s="5020"/>
      <c r="R10" s="5020"/>
      <c r="S10" s="5020"/>
      <c r="T10" s="5021"/>
      <c r="U10" s="1158"/>
      <c r="Y10" s="297"/>
      <c r="Z10" s="297"/>
      <c r="AA10" s="297"/>
      <c r="AB10" s="297"/>
      <c r="AC10" s="297"/>
    </row>
    <row r="11" spans="1:29" s="1855" customFormat="1" ht="18.75" hidden="1" customHeight="1">
      <c r="A11" s="1162"/>
      <c r="B11" s="1162"/>
      <c r="C11" s="1162"/>
      <c r="D11" s="1162"/>
      <c r="E11" s="1162"/>
      <c r="F11" s="1162"/>
      <c r="G11" s="1162"/>
      <c r="H11" s="1162"/>
      <c r="L11" s="249"/>
      <c r="M11" s="246"/>
      <c r="O11" s="1163"/>
      <c r="P11" s="1163"/>
      <c r="Q11" s="297" t="s">
        <v>2286</v>
      </c>
      <c r="R11" s="297" t="s">
        <v>2287</v>
      </c>
      <c r="S11" s="1163"/>
      <c r="T11" s="1163"/>
      <c r="U11" s="1158"/>
      <c r="Y11" s="1162"/>
      <c r="Z11" s="1162"/>
      <c r="AA11" s="1162"/>
      <c r="AB11" s="1162"/>
      <c r="AC11" s="1162"/>
    </row>
    <row r="12" spans="1:29" s="1951" customFormat="1" ht="11.25" hidden="1" customHeight="1">
      <c r="A12" s="297"/>
      <c r="B12" s="297"/>
      <c r="C12" s="297"/>
      <c r="D12" s="297"/>
      <c r="E12" s="297"/>
      <c r="F12" s="297"/>
      <c r="G12" s="297"/>
      <c r="H12" s="297"/>
      <c r="L12" s="5012"/>
      <c r="M12" s="5012"/>
      <c r="N12" s="1125"/>
      <c r="O12" s="253"/>
      <c r="P12" s="253"/>
      <c r="Q12" s="253"/>
      <c r="R12" s="253"/>
      <c r="S12" s="253"/>
      <c r="T12" s="253"/>
      <c r="U12" s="1161"/>
      <c r="V12" s="198" t="s">
        <v>566</v>
      </c>
      <c r="Y12" s="297"/>
      <c r="Z12" s="297"/>
      <c r="AA12" s="297"/>
      <c r="AB12" s="297"/>
      <c r="AC12" s="297"/>
    </row>
    <row r="13" spans="1:29" ht="14.25" customHeight="1">
      <c r="J13" s="306"/>
      <c r="K13" s="306"/>
      <c r="L13" s="291"/>
      <c r="M13" s="291"/>
      <c r="N13" s="291"/>
      <c r="O13" s="1164"/>
      <c r="P13" s="1164"/>
      <c r="Q13" s="5022"/>
      <c r="R13" s="5022"/>
      <c r="S13" s="5022"/>
      <c r="T13" s="5022"/>
      <c r="U13" s="5022"/>
      <c r="V13" s="5022"/>
    </row>
    <row r="14" spans="1:29" ht="14.25" customHeight="1">
      <c r="J14" s="306"/>
      <c r="K14" s="306"/>
      <c r="L14" s="4627" t="s">
        <v>439</v>
      </c>
      <c r="M14" s="4627"/>
      <c r="N14" s="4627"/>
      <c r="O14" s="4627"/>
      <c r="P14" s="4627"/>
      <c r="Q14" s="4627"/>
      <c r="R14" s="4627"/>
      <c r="S14" s="4627"/>
      <c r="T14" s="4627"/>
      <c r="U14" s="4627"/>
      <c r="V14" s="4627"/>
      <c r="W14" s="4627"/>
      <c r="X14" s="4627" t="s">
        <v>440</v>
      </c>
    </row>
    <row r="15" spans="1:29" ht="14.25" customHeight="1">
      <c r="J15" s="306"/>
      <c r="K15" s="306"/>
      <c r="L15" s="4719" t="s">
        <v>86</v>
      </c>
      <c r="M15" s="4719" t="s">
        <v>2288</v>
      </c>
      <c r="N15" s="1124"/>
      <c r="O15" s="4719" t="s">
        <v>2289</v>
      </c>
      <c r="P15" s="4718" t="s">
        <v>2290</v>
      </c>
      <c r="Q15" s="4718" t="s">
        <v>2270</v>
      </c>
      <c r="R15" s="4718"/>
      <c r="S15" s="4718"/>
      <c r="T15" s="4718"/>
      <c r="U15" s="4718"/>
      <c r="V15" s="4719" t="s">
        <v>569</v>
      </c>
      <c r="W15" s="5023" t="s">
        <v>1195</v>
      </c>
      <c r="X15" s="4627"/>
    </row>
    <row r="16" spans="1:29" ht="25.5" customHeight="1">
      <c r="J16" s="306"/>
      <c r="K16" s="306"/>
      <c r="L16" s="4719"/>
      <c r="M16" s="4719"/>
      <c r="N16" s="1124"/>
      <c r="O16" s="4719"/>
      <c r="P16" s="4718"/>
      <c r="Q16" s="4718" t="s">
        <v>2291</v>
      </c>
      <c r="R16" s="4718"/>
      <c r="S16" s="4627" t="s">
        <v>587</v>
      </c>
      <c r="T16" s="4627"/>
      <c r="U16" s="4627"/>
      <c r="V16" s="4719"/>
      <c r="W16" s="5023"/>
      <c r="X16" s="4627"/>
    </row>
    <row r="17" spans="1:29" ht="14.25" customHeight="1">
      <c r="J17" s="306"/>
      <c r="K17" s="306"/>
      <c r="L17" s="4719"/>
      <c r="M17" s="4719"/>
      <c r="N17" s="1124"/>
      <c r="O17" s="4719"/>
      <c r="P17" s="4718"/>
      <c r="Q17" s="1124" t="s">
        <v>616</v>
      </c>
      <c r="R17" s="1124" t="s">
        <v>617</v>
      </c>
      <c r="S17" s="1128" t="s">
        <v>585</v>
      </c>
      <c r="T17" s="4655" t="s">
        <v>586</v>
      </c>
      <c r="U17" s="4655"/>
      <c r="V17" s="4719"/>
      <c r="W17" s="5023"/>
      <c r="X17" s="4627"/>
    </row>
    <row r="18" spans="1:29" ht="14.25" customHeight="1">
      <c r="J18" s="306"/>
      <c r="K18" s="210">
        <v>1</v>
      </c>
      <c r="L18" s="381" t="s">
        <v>174</v>
      </c>
      <c r="M18" s="381" t="s">
        <v>101</v>
      </c>
      <c r="N18" s="1160" t="s">
        <v>101</v>
      </c>
      <c r="O18" s="1126">
        <f t="shared" ref="O18:T18" ca="1" si="0">OFFSET(O18,0,-1)+1</f>
        <v>3</v>
      </c>
      <c r="P18" s="1126">
        <f t="shared" ca="1" si="0"/>
        <v>4</v>
      </c>
      <c r="Q18" s="1126">
        <f t="shared" ca="1" si="0"/>
        <v>5</v>
      </c>
      <c r="R18" s="1126">
        <f t="shared" ca="1" si="0"/>
        <v>6</v>
      </c>
      <c r="S18" s="1126">
        <f t="shared" ca="1" si="0"/>
        <v>7</v>
      </c>
      <c r="T18" s="5024">
        <f t="shared" ca="1" si="0"/>
        <v>8</v>
      </c>
      <c r="U18" s="5024"/>
      <c r="V18" s="1126">
        <f ca="1">OFFSET(V18,0,-2)+1</f>
        <v>9</v>
      </c>
      <c r="X18" s="1126">
        <f ca="1">OFFSET(X18,0,-2)+1</f>
        <v>10</v>
      </c>
    </row>
    <row r="19" spans="1:29" ht="22.5" customHeight="1">
      <c r="A19" s="4758">
        <v>1</v>
      </c>
      <c r="B19" s="445"/>
      <c r="C19" s="445"/>
      <c r="D19" s="445"/>
      <c r="E19" s="445"/>
      <c r="F19" s="445"/>
      <c r="G19" s="313"/>
      <c r="H19" s="313"/>
      <c r="I19" s="287"/>
      <c r="J19" s="306"/>
      <c r="K19" s="306"/>
      <c r="L19" s="1133" t="e">
        <f ca="1">MERGEVALUE(A19)</f>
        <v>#NAME?</v>
      </c>
      <c r="M19" s="217" t="s">
        <v>185</v>
      </c>
      <c r="N19" s="236"/>
      <c r="O19" s="4938"/>
      <c r="P19" s="4938"/>
      <c r="Q19" s="4938"/>
      <c r="R19" s="4938"/>
      <c r="S19" s="4938"/>
      <c r="T19" s="4938"/>
      <c r="U19" s="4938"/>
      <c r="V19" s="4938"/>
      <c r="W19" s="4938"/>
      <c r="X19" s="271" t="s">
        <v>537</v>
      </c>
    </row>
    <row r="20" spans="1:29" ht="22.5" customHeight="1">
      <c r="A20" s="4758"/>
      <c r="B20" s="4758">
        <v>1</v>
      </c>
      <c r="C20" s="445"/>
      <c r="D20" s="445"/>
      <c r="E20" s="445"/>
      <c r="F20" s="445"/>
      <c r="G20" s="315"/>
      <c r="H20" s="1127"/>
      <c r="I20" s="289"/>
      <c r="J20" s="1134"/>
      <c r="K20" s="1056"/>
      <c r="L20" s="1133" t="e">
        <f ca="1">MERGEVALUE(A20)&amp;"."&amp;MERGEVALUE(B20)</f>
        <v>#NAME?</v>
      </c>
      <c r="M20" s="229" t="s">
        <v>538</v>
      </c>
      <c r="N20" s="236"/>
      <c r="O20" s="4938"/>
      <c r="P20" s="4938"/>
      <c r="Q20" s="4938"/>
      <c r="R20" s="4938"/>
      <c r="S20" s="4938"/>
      <c r="T20" s="4938"/>
      <c r="U20" s="4938"/>
      <c r="V20" s="4938"/>
      <c r="W20" s="4938"/>
      <c r="X20" s="271" t="s">
        <v>539</v>
      </c>
    </row>
    <row r="21" spans="1:29" ht="22.5" customHeight="1">
      <c r="A21" s="4758"/>
      <c r="B21" s="4758"/>
      <c r="C21" s="4758">
        <v>1</v>
      </c>
      <c r="D21" s="445"/>
      <c r="E21" s="445"/>
      <c r="F21" s="445"/>
      <c r="G21" s="315"/>
      <c r="H21" s="1127"/>
      <c r="I21" s="290"/>
      <c r="J21" s="1134"/>
      <c r="K21" s="1056"/>
      <c r="L21" s="1133" t="e">
        <f ca="1">MERGEVALUE(A21)&amp;"."&amp;MERGEVALUE(B21)&amp;"."&amp;MERGEVALUE(C21)</f>
        <v>#NAME?</v>
      </c>
      <c r="M21" s="230" t="s">
        <v>540</v>
      </c>
      <c r="N21" s="236"/>
      <c r="O21" s="4938"/>
      <c r="P21" s="4938"/>
      <c r="Q21" s="4938"/>
      <c r="R21" s="4938"/>
      <c r="S21" s="4938"/>
      <c r="T21" s="4938"/>
      <c r="U21" s="4938"/>
      <c r="V21" s="4938"/>
      <c r="W21" s="4938"/>
      <c r="X21" s="271" t="s">
        <v>541</v>
      </c>
    </row>
    <row r="22" spans="1:29" ht="14.25" customHeight="1">
      <c r="A22" s="4758"/>
      <c r="B22" s="4758"/>
      <c r="C22" s="4758"/>
      <c r="D22" s="4758">
        <v>1</v>
      </c>
      <c r="E22" s="445"/>
      <c r="F22" s="445"/>
      <c r="G22" s="315"/>
      <c r="H22" s="1127"/>
      <c r="I22" s="290"/>
      <c r="J22" s="288"/>
      <c r="K22" s="1056"/>
      <c r="L22" s="1133" t="e">
        <f ca="1">MERGEVALUE(A22)&amp;"."&amp;MERGEVALUE(B22)&amp;"."&amp;MERGEVALUE(C22)&amp;"."&amp;MERGEVALUE(D22)</f>
        <v>#NAME?</v>
      </c>
      <c r="M22" s="231" t="s">
        <v>542</v>
      </c>
      <c r="N22" s="236"/>
      <c r="O22" s="4938"/>
      <c r="P22" s="4938"/>
      <c r="Q22" s="4938"/>
      <c r="R22" s="4938"/>
      <c r="S22" s="4938"/>
      <c r="T22" s="4938"/>
      <c r="U22" s="4938"/>
      <c r="V22" s="4938"/>
      <c r="W22" s="4938"/>
      <c r="X22" s="264" t="s">
        <v>2292</v>
      </c>
    </row>
    <row r="23" spans="1:29" ht="22.5" customHeight="1">
      <c r="A23" s="4758"/>
      <c r="B23" s="4758"/>
      <c r="C23" s="4758"/>
      <c r="D23" s="4758"/>
      <c r="E23" s="445">
        <v>1</v>
      </c>
      <c r="F23" s="445"/>
      <c r="G23" s="315"/>
      <c r="H23" s="1127"/>
      <c r="I23" s="290"/>
      <c r="J23" s="288"/>
      <c r="K23" s="383"/>
      <c r="L23" s="1133" t="e">
        <f ca="1">MERGEVALUE(A23)&amp;"."&amp;MERGEVALUE(B23)&amp;"."&amp;MERGEVALUE(C23)&amp;"."&amp;MERGEVALUE(D23)&amp;"."&amp;MERGEVALUE(E23)</f>
        <v>#NAME?</v>
      </c>
      <c r="M23" s="308"/>
      <c r="N23" s="1130"/>
      <c r="O23" s="310"/>
      <c r="P23" s="311"/>
      <c r="Q23" s="224"/>
      <c r="R23" s="224"/>
      <c r="S23" s="1645"/>
      <c r="T23" s="1123" t="s">
        <v>55</v>
      </c>
      <c r="U23" s="1166"/>
      <c r="V23" s="1123" t="s">
        <v>55</v>
      </c>
      <c r="W23" s="1167"/>
      <c r="X23" s="4667" t="s">
        <v>2293</v>
      </c>
      <c r="Y23" s="438" t="e">
        <f ca="1">STRCHECKDATETWO(N23:W23)</f>
        <v>#NAME?</v>
      </c>
    </row>
    <row r="24" spans="1:29" ht="14.25" hidden="1" customHeight="1">
      <c r="A24" s="4758"/>
      <c r="B24" s="4758"/>
      <c r="C24" s="4758"/>
      <c r="D24" s="4758"/>
      <c r="E24" s="445"/>
      <c r="F24" s="445"/>
      <c r="G24" s="315"/>
      <c r="H24" s="1127"/>
      <c r="I24" s="290"/>
      <c r="J24" s="288"/>
      <c r="K24" s="383"/>
      <c r="L24" s="1132"/>
      <c r="M24" s="232"/>
      <c r="N24" s="219"/>
      <c r="O24" s="219"/>
      <c r="P24" s="219"/>
      <c r="Q24" s="219"/>
      <c r="R24" s="255" t="str">
        <f>S23&amp;"-"&amp;U23</f>
        <v>-</v>
      </c>
      <c r="S24" s="240"/>
      <c r="T24" s="237"/>
      <c r="U24" s="240"/>
      <c r="V24" s="219"/>
      <c r="W24" s="1168"/>
      <c r="X24" s="4668"/>
    </row>
    <row r="25" spans="1:29" ht="14.25" customHeight="1">
      <c r="A25" s="4758"/>
      <c r="B25" s="4758"/>
      <c r="C25" s="4758"/>
      <c r="D25" s="4758"/>
      <c r="E25" s="445"/>
      <c r="F25" s="445"/>
      <c r="G25" s="315"/>
      <c r="H25" s="1127"/>
      <c r="I25" s="290"/>
      <c r="J25" s="288"/>
      <c r="K25" s="383"/>
      <c r="L25" s="228"/>
      <c r="M25" s="293" t="s">
        <v>605</v>
      </c>
      <c r="N25" s="292"/>
      <c r="O25" s="248"/>
      <c r="P25" s="248"/>
      <c r="Q25" s="248"/>
      <c r="R25" s="248"/>
      <c r="S25" s="252"/>
      <c r="T25" s="296"/>
      <c r="U25" s="295"/>
      <c r="V25" s="292"/>
      <c r="W25" s="292"/>
      <c r="X25" s="4669"/>
    </row>
    <row r="26" spans="1:29" s="4548" customFormat="1" ht="14.25" customHeight="1">
      <c r="A26" s="4758"/>
      <c r="B26" s="4758"/>
      <c r="C26" s="4758"/>
      <c r="D26" s="314"/>
      <c r="E26" s="314"/>
      <c r="F26" s="314"/>
      <c r="G26" s="315"/>
      <c r="H26" s="314"/>
      <c r="I26" s="290"/>
      <c r="J26" s="305"/>
      <c r="K26" s="307"/>
      <c r="L26" s="228"/>
      <c r="M26" s="301" t="s">
        <v>721</v>
      </c>
      <c r="N26" s="292"/>
      <c r="O26" s="248"/>
      <c r="P26" s="248"/>
      <c r="Q26" s="248"/>
      <c r="R26" s="248"/>
      <c r="S26" s="252"/>
      <c r="T26" s="296"/>
      <c r="U26" s="295"/>
      <c r="V26" s="292"/>
      <c r="W26" s="296"/>
      <c r="X26" s="1169"/>
      <c r="Y26" s="312"/>
      <c r="Z26" s="312"/>
      <c r="AA26" s="312"/>
      <c r="AB26" s="312"/>
      <c r="AC26" s="312"/>
    </row>
    <row r="27" spans="1:29" s="4548" customFormat="1" ht="14.25" customHeight="1">
      <c r="A27" s="4758"/>
      <c r="B27" s="4758"/>
      <c r="C27" s="314"/>
      <c r="D27" s="314"/>
      <c r="E27" s="314"/>
      <c r="F27" s="314"/>
      <c r="G27" s="315"/>
      <c r="H27" s="314"/>
      <c r="I27" s="286"/>
      <c r="J27" s="305"/>
      <c r="K27" s="307"/>
      <c r="L27" s="228"/>
      <c r="M27" s="292" t="s">
        <v>2271</v>
      </c>
      <c r="N27" s="292"/>
      <c r="O27" s="248"/>
      <c r="P27" s="248"/>
      <c r="Q27" s="248"/>
      <c r="R27" s="248"/>
      <c r="S27" s="252"/>
      <c r="T27" s="296"/>
      <c r="U27" s="295"/>
      <c r="V27" s="292"/>
      <c r="W27" s="296"/>
      <c r="X27" s="250"/>
      <c r="Y27" s="312"/>
      <c r="Z27" s="312"/>
      <c r="AA27" s="312"/>
      <c r="AB27" s="312"/>
      <c r="AC27" s="312"/>
    </row>
    <row r="28" spans="1:29" s="4548" customFormat="1" ht="14.25" customHeight="1">
      <c r="A28" s="4758"/>
      <c r="B28" s="314"/>
      <c r="C28" s="314"/>
      <c r="D28" s="314"/>
      <c r="E28" s="314"/>
      <c r="F28" s="314"/>
      <c r="G28" s="315"/>
      <c r="H28" s="314"/>
      <c r="I28" s="286"/>
      <c r="J28" s="305"/>
      <c r="K28" s="307"/>
      <c r="L28" s="228"/>
      <c r="M28" s="350" t="s">
        <v>169</v>
      </c>
      <c r="N28" s="292"/>
      <c r="O28" s="248"/>
      <c r="P28" s="248"/>
      <c r="Q28" s="248"/>
      <c r="R28" s="248"/>
      <c r="S28" s="252"/>
      <c r="T28" s="296"/>
      <c r="U28" s="295"/>
      <c r="V28" s="292"/>
      <c r="W28" s="296"/>
      <c r="X28" s="250"/>
      <c r="Y28" s="312"/>
      <c r="Z28" s="312"/>
      <c r="AA28" s="312"/>
      <c r="AB28" s="312"/>
      <c r="AC28" s="312"/>
    </row>
    <row r="29" spans="1:29" s="4548" customFormat="1" ht="14.25" customHeight="1">
      <c r="G29" s="294"/>
      <c r="H29" s="307"/>
      <c r="I29" s="304"/>
      <c r="J29" s="305"/>
      <c r="L29" s="228"/>
      <c r="M29" s="351" t="s">
        <v>407</v>
      </c>
      <c r="N29" s="292"/>
      <c r="O29" s="248"/>
      <c r="P29" s="248"/>
      <c r="Q29" s="248"/>
      <c r="R29" s="248"/>
      <c r="S29" s="252"/>
      <c r="T29" s="296"/>
      <c r="U29" s="295"/>
      <c r="V29" s="292"/>
      <c r="W29" s="296"/>
      <c r="X29" s="250"/>
      <c r="Y29" s="312"/>
      <c r="Z29" s="312"/>
      <c r="AA29" s="312"/>
      <c r="AB29" s="312"/>
      <c r="AC29" s="312"/>
    </row>
    <row r="31" spans="1:29" ht="14.25" customHeight="1">
      <c r="L31" s="2">
        <v>1</v>
      </c>
      <c r="M31" s="4779" t="s">
        <v>2294</v>
      </c>
      <c r="N31" s="4779"/>
      <c r="O31" s="4779"/>
      <c r="P31" s="4779"/>
      <c r="Q31" s="4779"/>
      <c r="R31" s="4779"/>
      <c r="S31" s="4779"/>
      <c r="T31" s="4779"/>
      <c r="U31" s="4779"/>
      <c r="V31" s="4779"/>
      <c r="W31" s="4779"/>
      <c r="X31" s="4779"/>
      <c r="Y31" s="1170"/>
      <c r="Z31" s="298"/>
      <c r="AA31" s="298"/>
      <c r="AB31" s="298"/>
      <c r="AC31" s="298"/>
    </row>
    <row r="32" spans="1:29" ht="14.25" customHeight="1">
      <c r="M32" s="1171"/>
      <c r="N32" s="1171"/>
      <c r="O32" s="1171"/>
      <c r="P32" s="1171"/>
      <c r="Q32" s="1171"/>
      <c r="R32" s="1171"/>
      <c r="S32" s="1171"/>
      <c r="T32" s="1171"/>
      <c r="U32" s="1171"/>
      <c r="V32" s="1171"/>
      <c r="W32" s="1171"/>
      <c r="X32" s="1171"/>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I58"/>
  <sheetViews>
    <sheetView showGridLines="0" topLeftCell="C3" zoomScale="90" workbookViewId="0"/>
  </sheetViews>
  <sheetFormatPr defaultColWidth="9.140625" defaultRowHeight="11.25" customHeight="1"/>
  <cols>
    <col min="1" max="1" width="15" style="1925" hidden="1" customWidth="1"/>
    <col min="2" max="2" width="15" style="1927" hidden="1" customWidth="1"/>
    <col min="3" max="3" width="3.7109375" style="1929" customWidth="1"/>
    <col min="4" max="4" width="6.85546875" style="1930" customWidth="1"/>
    <col min="5" max="5" width="52.28515625" style="1929" customWidth="1"/>
    <col min="6" max="6" width="48.85546875" style="1929" customWidth="1"/>
    <col min="7" max="7" width="121.7109375" style="1929" customWidth="1"/>
    <col min="8" max="8" width="9.140625" style="1929"/>
    <col min="9" max="9" width="65" style="1929" customWidth="1"/>
  </cols>
  <sheetData>
    <row r="1" spans="1:9" ht="11.25" hidden="1" customHeight="1">
      <c r="A1" s="1598" t="s">
        <v>438</v>
      </c>
    </row>
    <row r="2" spans="1:9" ht="11.25" hidden="1" customHeight="1"/>
    <row r="3" spans="1:9" s="1926" customFormat="1" ht="11.25" customHeight="1">
      <c r="A3" s="1598"/>
      <c r="B3" s="428"/>
      <c r="D3" s="405"/>
    </row>
    <row r="4" spans="1:9" ht="25.5" customHeight="1">
      <c r="D4" s="4657" t="str">
        <f>ORG_INFO_NAME_FORM</f>
        <v>Форма 1. Информация об организации, осуществляющей водоотведение (общая информация)</v>
      </c>
      <c r="E4" s="4658"/>
      <c r="F4" s="4659"/>
      <c r="I4" s="635"/>
    </row>
    <row r="5" spans="1:9" ht="17.25" customHeight="1">
      <c r="D5" s="4690" t="str">
        <f>IF(org=0,"Не определено",org)</f>
        <v>ОГКП "Ульяновский областной водоканал"</v>
      </c>
      <c r="E5" s="4690"/>
      <c r="F5" s="4690"/>
      <c r="I5" s="635"/>
    </row>
    <row r="6" spans="1:9" s="1926" customFormat="1" ht="11.25" customHeight="1">
      <c r="A6" s="1598"/>
      <c r="B6" s="428"/>
      <c r="D6" s="634"/>
      <c r="E6" s="634"/>
      <c r="F6" s="670"/>
      <c r="G6" s="634"/>
    </row>
    <row r="7" spans="1:9" ht="11.25" hidden="1" customHeight="1">
      <c r="A7" s="386"/>
      <c r="B7" s="429"/>
      <c r="C7" s="386"/>
      <c r="D7" s="391"/>
      <c r="E7" s="4717"/>
      <c r="F7" s="4717"/>
    </row>
    <row r="8" spans="1:9" ht="11.25" customHeight="1">
      <c r="A8" s="386"/>
      <c r="B8" s="429"/>
      <c r="C8" s="386"/>
      <c r="D8" s="4713" t="s">
        <v>439</v>
      </c>
      <c r="E8" s="4714"/>
      <c r="F8" s="4714"/>
      <c r="G8" s="4718" t="s">
        <v>440</v>
      </c>
    </row>
    <row r="9" spans="1:9" ht="11.25" customHeight="1">
      <c r="A9" s="386"/>
      <c r="B9" s="429"/>
      <c r="C9" s="386"/>
      <c r="D9" s="400" t="s">
        <v>86</v>
      </c>
      <c r="E9" s="379" t="s">
        <v>441</v>
      </c>
      <c r="F9" s="379" t="s">
        <v>442</v>
      </c>
      <c r="G9" s="4719"/>
    </row>
    <row r="10" spans="1:9" ht="12" hidden="1" customHeight="1">
      <c r="A10" s="386"/>
      <c r="B10" s="429"/>
      <c r="C10" s="386"/>
      <c r="D10" s="392"/>
      <c r="E10" s="392"/>
      <c r="F10" s="392"/>
      <c r="G10" s="392"/>
    </row>
    <row r="11" spans="1:9" ht="22.5" hidden="1" customHeight="1">
      <c r="A11" s="386"/>
      <c r="B11" s="429"/>
      <c r="C11" s="386"/>
      <c r="D11" s="917" t="s">
        <v>174</v>
      </c>
      <c r="E11" s="920" t="s">
        <v>443</v>
      </c>
      <c r="F11" s="919" t="str">
        <f>IF(region_name="","",region_name)</f>
        <v>Ульяновская область</v>
      </c>
      <c r="G11" s="920" t="s">
        <v>444</v>
      </c>
      <c r="H11" s="403"/>
    </row>
    <row r="12" spans="1:9" ht="22.5" hidden="1" customHeight="1">
      <c r="A12" s="386"/>
      <c r="B12" s="429"/>
      <c r="C12" s="386"/>
      <c r="D12" s="378" t="s">
        <v>174</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445</v>
      </c>
      <c r="G12" s="402"/>
      <c r="H12" s="403"/>
    </row>
    <row r="13" spans="1:9" ht="22.5" customHeight="1">
      <c r="A13" s="386"/>
      <c r="B13" s="429"/>
      <c r="C13" s="386"/>
      <c r="D13" s="378" t="s">
        <v>174</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7" t="s">
        <v>446</v>
      </c>
      <c r="E14" s="918" t="s">
        <v>447</v>
      </c>
      <c r="F14" s="919" t="str">
        <f>IF(inn="","",inn)</f>
        <v>7315905278</v>
      </c>
      <c r="G14" s="920" t="s">
        <v>448</v>
      </c>
      <c r="H14" s="403"/>
    </row>
    <row r="15" spans="1:9" ht="22.5" hidden="1" customHeight="1">
      <c r="A15" s="386"/>
      <c r="B15" s="429"/>
      <c r="C15" s="386"/>
      <c r="D15" s="917" t="s">
        <v>449</v>
      </c>
      <c r="E15" s="918" t="s">
        <v>450</v>
      </c>
      <c r="F15" s="919" t="str">
        <f>IF(kpp="","",kpp)</f>
        <v>731501001</v>
      </c>
      <c r="G15" s="920" t="s">
        <v>451</v>
      </c>
      <c r="H15" s="403"/>
    </row>
    <row r="16" spans="1:9" ht="36.75" customHeight="1">
      <c r="A16" s="386"/>
      <c r="B16" s="429"/>
      <c r="C16" s="386"/>
      <c r="D16" s="378" t="s">
        <v>101</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88</v>
      </c>
      <c r="E17" s="375" t="str">
        <f>"Дата присвоения ОГРН"&amp;IF(TEMPLATE_SPHERE="TKO",""," (ОГРНИП)")</f>
        <v>Дата присвоения ОГРН (ОГРНИП)</v>
      </c>
      <c r="F17" s="1643" t="s">
        <v>24</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89</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4715">
        <v>1</v>
      </c>
      <c r="B19" s="429"/>
      <c r="C19" s="4720"/>
      <c r="D19" s="373">
        <v>5</v>
      </c>
      <c r="E19" s="375" t="s">
        <v>452</v>
      </c>
      <c r="F19" s="376" t="s">
        <v>445</v>
      </c>
      <c r="G19" s="377" t="s">
        <v>453</v>
      </c>
      <c r="H19" s="403"/>
      <c r="I19" s="766"/>
    </row>
    <row r="20" spans="1:9" ht="33.75" hidden="1" customHeight="1">
      <c r="A20" s="4715"/>
      <c r="B20" s="429"/>
      <c r="C20" s="4720"/>
      <c r="D20" s="378" t="s">
        <v>454</v>
      </c>
      <c r="E20" s="372" t="s">
        <v>455</v>
      </c>
      <c r="F20" s="795" t="s">
        <v>24</v>
      </c>
      <c r="G20" s="402"/>
      <c r="H20" s="403"/>
      <c r="I20" s="766"/>
    </row>
    <row r="21" spans="1:9" ht="22.5" hidden="1" customHeight="1">
      <c r="A21" s="4715"/>
      <c r="B21" s="429"/>
      <c r="C21" s="4720"/>
      <c r="D21" s="378" t="s">
        <v>456</v>
      </c>
      <c r="E21" s="372" t="s">
        <v>457</v>
      </c>
      <c r="F21" s="1644" t="s">
        <v>24</v>
      </c>
      <c r="G21" s="377" t="s">
        <v>458</v>
      </c>
      <c r="H21" s="403"/>
      <c r="I21" s="766"/>
    </row>
    <row r="22" spans="1:9" ht="22.5" hidden="1" customHeight="1">
      <c r="A22" s="4715"/>
      <c r="B22" s="429"/>
      <c r="C22" s="4720"/>
      <c r="D22" s="378" t="s">
        <v>459</v>
      </c>
      <c r="E22" s="372" t="s">
        <v>460</v>
      </c>
      <c r="F22" s="795" t="s">
        <v>24</v>
      </c>
      <c r="G22" s="402"/>
      <c r="H22" s="403"/>
      <c r="I22" s="766"/>
    </row>
    <row r="23" spans="1:9" ht="22.5" hidden="1" customHeight="1">
      <c r="A23" s="4715"/>
      <c r="B23" s="429"/>
      <c r="C23" s="4720"/>
      <c r="D23" s="378" t="s">
        <v>461</v>
      </c>
      <c r="E23" s="372" t="s">
        <v>462</v>
      </c>
      <c r="F23" s="795" t="s">
        <v>24</v>
      </c>
      <c r="G23" s="377" t="s">
        <v>463</v>
      </c>
      <c r="H23" s="403"/>
      <c r="I23" s="766"/>
    </row>
    <row r="24" spans="1:9" s="1927" customFormat="1" ht="24.75" hidden="1" customHeight="1">
      <c r="A24" s="386"/>
      <c r="B24" s="429"/>
      <c r="C24" s="429"/>
      <c r="D24" s="914" t="s">
        <v>88</v>
      </c>
      <c r="E24" s="916" t="s">
        <v>464</v>
      </c>
      <c r="F24" s="921" t="s">
        <v>445</v>
      </c>
      <c r="G24" s="916"/>
    </row>
    <row r="25" spans="1:9" s="1927" customFormat="1" ht="11.25" hidden="1" customHeight="1">
      <c r="A25" s="386"/>
      <c r="B25" s="429"/>
      <c r="C25" s="429"/>
      <c r="D25" s="914" t="s">
        <v>465</v>
      </c>
      <c r="E25" s="915" t="s">
        <v>466</v>
      </c>
      <c r="F25" s="921" t="s">
        <v>445</v>
      </c>
      <c r="G25" s="916"/>
    </row>
    <row r="26" spans="1:9" s="1927" customFormat="1" ht="11.25" hidden="1" customHeight="1">
      <c r="A26" s="386"/>
      <c r="B26" s="429"/>
      <c r="C26" s="429"/>
      <c r="D26" s="914" t="s">
        <v>467</v>
      </c>
      <c r="E26" s="922" t="s">
        <v>468</v>
      </c>
      <c r="F26" s="923"/>
      <c r="G26" s="9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1927" customFormat="1" ht="11.25" hidden="1" customHeight="1">
      <c r="A27" s="386"/>
      <c r="B27" s="429"/>
      <c r="C27" s="429"/>
      <c r="D27" s="914" t="s">
        <v>469</v>
      </c>
      <c r="E27" s="922" t="s">
        <v>470</v>
      </c>
      <c r="F27" s="923"/>
      <c r="G27" s="9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1927" customFormat="1" ht="11.25" hidden="1" customHeight="1">
      <c r="A28" s="386"/>
      <c r="B28" s="429"/>
      <c r="C28" s="429"/>
      <c r="D28" s="914" t="s">
        <v>471</v>
      </c>
      <c r="E28" s="922" t="s">
        <v>472</v>
      </c>
      <c r="F28" s="923"/>
      <c r="G28" s="9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1927" customFormat="1" ht="11.25" hidden="1" customHeight="1">
      <c r="A29" s="386"/>
      <c r="B29" s="429"/>
      <c r="C29" s="429"/>
      <c r="D29" s="914" t="s">
        <v>473</v>
      </c>
      <c r="E29" s="915" t="s">
        <v>474</v>
      </c>
      <c r="F29" s="923"/>
      <c r="G29" s="916"/>
    </row>
    <row r="30" spans="1:9" s="1927" customFormat="1" ht="11.25" hidden="1" customHeight="1">
      <c r="A30" s="386"/>
      <c r="B30" s="429"/>
      <c r="C30" s="429"/>
      <c r="D30" s="914" t="s">
        <v>475</v>
      </c>
      <c r="E30" s="915" t="s">
        <v>476</v>
      </c>
      <c r="F30" s="923"/>
      <c r="G30" s="916"/>
    </row>
    <row r="31" spans="1:9" s="1927" customFormat="1" ht="11.25" hidden="1" customHeight="1">
      <c r="A31" s="386"/>
      <c r="B31" s="429"/>
      <c r="C31" s="429"/>
      <c r="D31" s="914" t="s">
        <v>477</v>
      </c>
      <c r="E31" s="915" t="s">
        <v>478</v>
      </c>
      <c r="F31" s="924"/>
      <c r="G31" s="916"/>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445</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479</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479</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445</v>
      </c>
      <c r="G38" s="472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3"/>
      <c r="F39" s="795"/>
      <c r="G39" s="4722"/>
      <c r="H39" s="403"/>
    </row>
    <row r="40" spans="1:8" ht="22.5" customHeight="1">
      <c r="A40" s="386"/>
      <c r="B40" s="386"/>
      <c r="C40" s="1600"/>
      <c r="D40" s="373" t="str">
        <f>D38&amp;".1"</f>
        <v>8.1</v>
      </c>
      <c r="E40" s="774"/>
      <c r="F40" s="775"/>
      <c r="G40" s="4722"/>
      <c r="H40" s="403"/>
    </row>
    <row r="41" spans="1:8" ht="15" customHeight="1">
      <c r="A41" s="386"/>
      <c r="B41" s="429"/>
      <c r="C41" s="386"/>
      <c r="D41" s="395"/>
      <c r="E41" s="350" t="s">
        <v>480</v>
      </c>
      <c r="F41" s="397"/>
      <c r="G41" s="4723"/>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481</v>
      </c>
      <c r="H43" s="403"/>
    </row>
    <row r="44" spans="1:8" ht="22.5" customHeight="1">
      <c r="A44" s="386"/>
      <c r="B44" s="429"/>
      <c r="C44" s="386"/>
      <c r="D44" s="373">
        <f>D43+1</f>
        <v>11</v>
      </c>
      <c r="E44" s="371" t="s">
        <v>482</v>
      </c>
      <c r="F44" s="376" t="s">
        <v>445</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6"/>
      <c r="G45" s="370" t="s">
        <v>483</v>
      </c>
      <c r="H45" s="403"/>
    </row>
    <row r="46" spans="1:8" ht="22.5" customHeight="1">
      <c r="A46" s="4711"/>
      <c r="B46" s="429"/>
      <c r="C46" s="419"/>
      <c r="D46" s="373" t="str">
        <f>D44&amp;".2"</f>
        <v>11.2</v>
      </c>
      <c r="E46" s="375" t="s">
        <v>484</v>
      </c>
      <c r="F46" s="417"/>
      <c r="G46" s="370" t="s">
        <v>485</v>
      </c>
      <c r="H46" s="403"/>
    </row>
    <row r="47" spans="1:8" ht="22.5" customHeight="1">
      <c r="A47" s="4711"/>
      <c r="B47" s="429"/>
      <c r="C47" s="419"/>
      <c r="D47" s="373" t="str">
        <f>D44&amp;".3"</f>
        <v>11.3</v>
      </c>
      <c r="E47" s="375" t="s">
        <v>486</v>
      </c>
      <c r="F47" s="417"/>
      <c r="G47" s="370" t="s">
        <v>487</v>
      </c>
      <c r="H47" s="403"/>
    </row>
    <row r="48" spans="1:8" ht="22.5" customHeight="1">
      <c r="A48" s="4711"/>
      <c r="B48" s="429"/>
      <c r="C48" s="419"/>
      <c r="D48" s="373" t="str">
        <f>IF(TEMPLATE_SPHERE="TKO",D44&amp;".0",D44&amp;".4")</f>
        <v>11.4</v>
      </c>
      <c r="E48" s="369" t="s">
        <v>488</v>
      </c>
      <c r="F48" s="1597"/>
      <c r="G48" s="1673" t="s">
        <v>489</v>
      </c>
      <c r="H48" s="403"/>
    </row>
    <row r="49" spans="1:9" ht="22.5" customHeight="1">
      <c r="A49" s="386"/>
      <c r="B49" s="429"/>
      <c r="C49" s="386"/>
      <c r="D49" s="395"/>
      <c r="E49" s="350" t="s">
        <v>490</v>
      </c>
      <c r="F49" s="396"/>
      <c r="G49" s="1673" t="s">
        <v>491</v>
      </c>
      <c r="H49" s="404"/>
    </row>
    <row r="50" spans="1:9" ht="22.5" customHeight="1">
      <c r="A50" s="772"/>
      <c r="B50" s="429"/>
      <c r="C50" s="419"/>
      <c r="D50" s="373">
        <f>D44+1</f>
        <v>12</v>
      </c>
      <c r="E50" s="455" t="s">
        <v>492</v>
      </c>
      <c r="F50" s="417"/>
      <c r="G50" s="16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928" customFormat="1" ht="30" customHeight="1">
      <c r="A52" s="1599"/>
      <c r="B52" s="430"/>
      <c r="C52" s="4712"/>
      <c r="D52" s="47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4716"/>
      <c r="F52" s="4716"/>
      <c r="G52" s="4716"/>
      <c r="H52" s="385"/>
      <c r="I52" s="385"/>
    </row>
    <row r="53" spans="1:9" s="1928" customFormat="1" ht="39.75" customHeight="1">
      <c r="A53" s="386"/>
      <c r="B53" s="429"/>
      <c r="C53" s="4712"/>
      <c r="D53" s="471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4716"/>
      <c r="F53" s="4716"/>
      <c r="G53" s="4716"/>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1" t="s">
        <v>2295</v>
      </c>
      <c r="B1" s="682" t="s">
        <v>2296</v>
      </c>
      <c r="C1" s="5025" t="s">
        <v>2297</v>
      </c>
      <c r="D1" s="5026"/>
      <c r="E1" s="754" t="s">
        <v>2298</v>
      </c>
    </row>
    <row r="2" spans="1:5" ht="11.25" customHeight="1">
      <c r="A2" s="675"/>
      <c r="B2" s="683" t="s">
        <v>22</v>
      </c>
      <c r="C2" s="671"/>
      <c r="D2" s="682"/>
      <c r="E2" s="754"/>
    </row>
    <row r="3" spans="1:5" ht="11.25" customHeight="1">
      <c r="A3" s="686"/>
      <c r="B3" s="684" t="s">
        <v>29</v>
      </c>
      <c r="C3" s="671"/>
      <c r="D3" s="682"/>
      <c r="E3" s="754"/>
    </row>
    <row r="4" spans="1:5" ht="11.25" customHeight="1">
      <c r="A4" s="687"/>
      <c r="B4" s="684" t="s">
        <v>1793</v>
      </c>
      <c r="C4" s="671"/>
      <c r="D4" s="682"/>
      <c r="E4" s="754"/>
    </row>
    <row r="5" spans="1:5" ht="11.25" customHeight="1">
      <c r="A5" s="699"/>
      <c r="B5" s="684" t="s">
        <v>1788</v>
      </c>
      <c r="C5" s="674" t="s">
        <v>2034</v>
      </c>
      <c r="D5" s="794" t="s">
        <v>2299</v>
      </c>
      <c r="E5" s="754"/>
    </row>
    <row r="6" spans="1:5" s="4548" customFormat="1" ht="11.25" customHeight="1">
      <c r="A6" s="685"/>
      <c r="B6" s="684" t="s">
        <v>1797</v>
      </c>
      <c r="C6" s="671"/>
      <c r="D6" s="682"/>
      <c r="E6" s="754"/>
    </row>
    <row r="7" spans="1:5" ht="11.25" customHeight="1">
      <c r="A7" s="673"/>
      <c r="B7" s="684" t="s">
        <v>1805</v>
      </c>
      <c r="C7" s="671"/>
      <c r="D7" s="682"/>
      <c r="E7" s="754"/>
    </row>
    <row r="8" spans="1:5" ht="11.25" customHeight="1">
      <c r="A8" s="674"/>
      <c r="B8" s="684" t="s">
        <v>1800</v>
      </c>
      <c r="C8" s="671"/>
      <c r="D8" s="682"/>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sheetPr>
    <tabColor rgb="FFFFCC99"/>
  </sheetPr>
  <dimension ref="A1:I383"/>
  <sheetViews>
    <sheetView showGridLines="0" workbookViewId="0"/>
  </sheetViews>
  <sheetFormatPr defaultColWidth="9.140625" defaultRowHeight="11.25" customHeight="1"/>
  <cols>
    <col min="1" max="2" width="9.140625" style="4571"/>
    <col min="3" max="3" width="20.7109375" style="4571" customWidth="1"/>
    <col min="4" max="4" width="25.140625" style="4571" customWidth="1"/>
    <col min="5" max="9" width="9.140625" style="4571"/>
  </cols>
  <sheetData>
    <row r="1" spans="1:9" ht="11.25" customHeight="1">
      <c r="A1" s="5" t="s">
        <v>2300</v>
      </c>
      <c r="B1" s="5" t="s">
        <v>2301</v>
      </c>
      <c r="C1" s="5" t="s">
        <v>2302</v>
      </c>
      <c r="D1" s="5" t="s">
        <v>2303</v>
      </c>
      <c r="E1" s="5" t="s">
        <v>2304</v>
      </c>
      <c r="F1" s="5" t="s">
        <v>2305</v>
      </c>
      <c r="G1" s="5" t="s">
        <v>2306</v>
      </c>
      <c r="H1" s="5" t="s">
        <v>2307</v>
      </c>
      <c r="I1" s="5" t="s">
        <v>2308</v>
      </c>
    </row>
    <row r="2" spans="1:9" ht="11.25" customHeight="1">
      <c r="A2" s="4572" t="s">
        <v>2309</v>
      </c>
      <c r="B2" s="4572" t="s">
        <v>14</v>
      </c>
      <c r="C2" s="4572" t="s">
        <v>2310</v>
      </c>
      <c r="D2" s="4572" t="s">
        <v>2311</v>
      </c>
      <c r="E2" s="4572" t="s">
        <v>2312</v>
      </c>
      <c r="F2" s="4572" t="s">
        <v>2313</v>
      </c>
      <c r="G2" s="4572" t="s">
        <v>24</v>
      </c>
      <c r="H2" s="4572" t="s">
        <v>24</v>
      </c>
      <c r="I2" s="4572" t="s">
        <v>857</v>
      </c>
    </row>
    <row r="3" spans="1:9" ht="11.25" customHeight="1">
      <c r="A3" s="4572" t="s">
        <v>2309</v>
      </c>
      <c r="B3" s="4572" t="s">
        <v>14</v>
      </c>
      <c r="C3" s="4572" t="s">
        <v>24</v>
      </c>
      <c r="D3" s="4572" t="s">
        <v>2314</v>
      </c>
      <c r="E3" s="4572" t="s">
        <v>2315</v>
      </c>
      <c r="F3" s="4572" t="s">
        <v>2316</v>
      </c>
      <c r="G3" s="4572" t="s">
        <v>24</v>
      </c>
      <c r="H3" s="4572" t="s">
        <v>24</v>
      </c>
      <c r="I3" s="4572" t="s">
        <v>857</v>
      </c>
    </row>
    <row r="4" spans="1:9" ht="11.25" customHeight="1">
      <c r="A4" s="4572" t="s">
        <v>2309</v>
      </c>
      <c r="B4" s="4572" t="s">
        <v>14</v>
      </c>
      <c r="C4" s="4572" t="s">
        <v>2317</v>
      </c>
      <c r="D4" s="4572" t="s">
        <v>2318</v>
      </c>
      <c r="E4" s="4572" t="s">
        <v>2319</v>
      </c>
      <c r="F4" s="4572" t="s">
        <v>2320</v>
      </c>
      <c r="G4" s="4572" t="s">
        <v>24</v>
      </c>
      <c r="H4" s="4572" t="s">
        <v>24</v>
      </c>
      <c r="I4" s="4572" t="s">
        <v>857</v>
      </c>
    </row>
    <row r="5" spans="1:9" ht="11.25" customHeight="1">
      <c r="A5" s="4572" t="s">
        <v>2309</v>
      </c>
      <c r="B5" s="4572" t="s">
        <v>14</v>
      </c>
      <c r="C5" s="4572" t="s">
        <v>2321</v>
      </c>
      <c r="D5" s="4572" t="s">
        <v>2322</v>
      </c>
      <c r="E5" s="4572" t="s">
        <v>2323</v>
      </c>
      <c r="F5" s="4572" t="s">
        <v>2324</v>
      </c>
      <c r="G5" s="4572" t="s">
        <v>24</v>
      </c>
      <c r="H5" s="4572" t="s">
        <v>24</v>
      </c>
      <c r="I5" s="4572" t="s">
        <v>857</v>
      </c>
    </row>
    <row r="6" spans="1:9" ht="11.25" customHeight="1">
      <c r="A6" s="4572" t="s">
        <v>2309</v>
      </c>
      <c r="B6" s="4572" t="s">
        <v>14</v>
      </c>
      <c r="C6" s="4572" t="s">
        <v>2325</v>
      </c>
      <c r="D6" s="4572" t="s">
        <v>2326</v>
      </c>
      <c r="E6" s="4572" t="s">
        <v>2327</v>
      </c>
      <c r="F6" s="4572" t="s">
        <v>2328</v>
      </c>
      <c r="G6" s="4572" t="s">
        <v>24</v>
      </c>
      <c r="H6" s="4572" t="s">
        <v>24</v>
      </c>
      <c r="I6" s="4572" t="s">
        <v>857</v>
      </c>
    </row>
    <row r="7" spans="1:9" ht="11.25" customHeight="1">
      <c r="A7" s="4572" t="s">
        <v>2309</v>
      </c>
      <c r="B7" s="4572" t="s">
        <v>14</v>
      </c>
      <c r="C7" s="4572" t="s">
        <v>2329</v>
      </c>
      <c r="D7" s="4572" t="s">
        <v>2330</v>
      </c>
      <c r="E7" s="4572" t="s">
        <v>2331</v>
      </c>
      <c r="F7" s="4572" t="s">
        <v>2332</v>
      </c>
      <c r="G7" s="4572" t="s">
        <v>24</v>
      </c>
      <c r="H7" s="4572" t="s">
        <v>24</v>
      </c>
      <c r="I7" s="4572" t="s">
        <v>857</v>
      </c>
    </row>
    <row r="8" spans="1:9" ht="11.25" customHeight="1">
      <c r="A8" s="4572" t="s">
        <v>2309</v>
      </c>
      <c r="B8" s="4572" t="s">
        <v>14</v>
      </c>
      <c r="C8" s="4572" t="s">
        <v>2333</v>
      </c>
      <c r="D8" s="4572" t="s">
        <v>2334</v>
      </c>
      <c r="E8" s="4572" t="s">
        <v>2335</v>
      </c>
      <c r="F8" s="4572" t="s">
        <v>2336</v>
      </c>
      <c r="G8" s="4572" t="s">
        <v>24</v>
      </c>
      <c r="H8" s="4572" t="s">
        <v>24</v>
      </c>
      <c r="I8" s="4572" t="s">
        <v>857</v>
      </c>
    </row>
    <row r="9" spans="1:9" ht="11.25" customHeight="1">
      <c r="A9" s="4572" t="s">
        <v>2309</v>
      </c>
      <c r="B9" s="4572" t="s">
        <v>14</v>
      </c>
      <c r="C9" s="4572" t="s">
        <v>2337</v>
      </c>
      <c r="D9" s="4572" t="s">
        <v>2338</v>
      </c>
      <c r="E9" s="4572" t="s">
        <v>2339</v>
      </c>
      <c r="F9" s="4572" t="s">
        <v>2336</v>
      </c>
      <c r="G9" s="4572" t="s">
        <v>24</v>
      </c>
      <c r="H9" s="4572" t="s">
        <v>24</v>
      </c>
      <c r="I9" s="4572" t="s">
        <v>857</v>
      </c>
    </row>
    <row r="10" spans="1:9" ht="11.25" customHeight="1">
      <c r="A10" s="4572" t="s">
        <v>2309</v>
      </c>
      <c r="B10" s="4572" t="s">
        <v>14</v>
      </c>
      <c r="C10" s="4572" t="s">
        <v>2340</v>
      </c>
      <c r="D10" s="4572" t="s">
        <v>2341</v>
      </c>
      <c r="E10" s="4572" t="s">
        <v>2342</v>
      </c>
      <c r="F10" s="4572" t="s">
        <v>2343</v>
      </c>
      <c r="G10" s="4572" t="s">
        <v>24</v>
      </c>
      <c r="H10" s="4572" t="s">
        <v>24</v>
      </c>
      <c r="I10" s="4572" t="s">
        <v>857</v>
      </c>
    </row>
    <row r="11" spans="1:9" ht="11.25" customHeight="1">
      <c r="A11" s="4572" t="s">
        <v>2309</v>
      </c>
      <c r="B11" s="4572" t="s">
        <v>14</v>
      </c>
      <c r="C11" s="4572" t="s">
        <v>2344</v>
      </c>
      <c r="D11" s="4572" t="s">
        <v>2345</v>
      </c>
      <c r="E11" s="4572" t="s">
        <v>2346</v>
      </c>
      <c r="F11" s="4572" t="s">
        <v>2347</v>
      </c>
      <c r="G11" s="4572" t="s">
        <v>24</v>
      </c>
      <c r="H11" s="4572" t="s">
        <v>24</v>
      </c>
      <c r="I11" s="4572" t="s">
        <v>857</v>
      </c>
    </row>
    <row r="12" spans="1:9" ht="11.25" customHeight="1">
      <c r="A12" s="4572" t="s">
        <v>2309</v>
      </c>
      <c r="B12" s="4572" t="s">
        <v>14</v>
      </c>
      <c r="C12" s="4572" t="s">
        <v>2348</v>
      </c>
      <c r="D12" s="4572" t="s">
        <v>2349</v>
      </c>
      <c r="E12" s="4572" t="s">
        <v>2350</v>
      </c>
      <c r="F12" s="4572" t="s">
        <v>2316</v>
      </c>
      <c r="G12" s="4572" t="s">
        <v>24</v>
      </c>
      <c r="H12" s="4572" t="s">
        <v>24</v>
      </c>
      <c r="I12" s="4572" t="s">
        <v>857</v>
      </c>
    </row>
    <row r="13" spans="1:9" ht="11.25" customHeight="1">
      <c r="A13" s="4572" t="s">
        <v>2309</v>
      </c>
      <c r="B13" s="4572" t="s">
        <v>14</v>
      </c>
      <c r="C13" s="4572" t="s">
        <v>2351</v>
      </c>
      <c r="D13" s="4572" t="s">
        <v>2352</v>
      </c>
      <c r="E13" s="4572" t="s">
        <v>2353</v>
      </c>
      <c r="F13" s="4572" t="s">
        <v>2332</v>
      </c>
      <c r="G13" s="4572" t="s">
        <v>24</v>
      </c>
      <c r="H13" s="4572" t="s">
        <v>24</v>
      </c>
      <c r="I13" s="4572" t="s">
        <v>857</v>
      </c>
    </row>
    <row r="14" spans="1:9" ht="11.25" customHeight="1">
      <c r="A14" s="4572" t="s">
        <v>2309</v>
      </c>
      <c r="B14" s="4572" t="s">
        <v>14</v>
      </c>
      <c r="C14" s="4572" t="s">
        <v>2354</v>
      </c>
      <c r="D14" s="4572" t="s">
        <v>2355</v>
      </c>
      <c r="E14" s="4572" t="s">
        <v>2356</v>
      </c>
      <c r="F14" s="4572" t="s">
        <v>2357</v>
      </c>
      <c r="G14" s="4572" t="s">
        <v>24</v>
      </c>
      <c r="H14" s="4572" t="s">
        <v>24</v>
      </c>
      <c r="I14" s="4572" t="s">
        <v>857</v>
      </c>
    </row>
    <row r="15" spans="1:9" ht="11.25" customHeight="1">
      <c r="A15" s="4572" t="s">
        <v>2309</v>
      </c>
      <c r="B15" s="4572" t="s">
        <v>14</v>
      </c>
      <c r="C15" s="4572" t="s">
        <v>2358</v>
      </c>
      <c r="D15" s="4572" t="s">
        <v>2359</v>
      </c>
      <c r="E15" s="4572" t="s">
        <v>2360</v>
      </c>
      <c r="F15" s="4572" t="s">
        <v>2361</v>
      </c>
      <c r="G15" s="4572" t="s">
        <v>24</v>
      </c>
      <c r="H15" s="4572" t="s">
        <v>24</v>
      </c>
      <c r="I15" s="4572" t="s">
        <v>857</v>
      </c>
    </row>
    <row r="16" spans="1:9" ht="11.25" customHeight="1">
      <c r="A16" s="4572" t="s">
        <v>2309</v>
      </c>
      <c r="B16" s="4572" t="s">
        <v>14</v>
      </c>
      <c r="C16" s="4572" t="s">
        <v>2362</v>
      </c>
      <c r="D16" s="4572" t="s">
        <v>2363</v>
      </c>
      <c r="E16" s="4572" t="s">
        <v>2364</v>
      </c>
      <c r="F16" s="4572" t="s">
        <v>2361</v>
      </c>
      <c r="G16" s="4572" t="s">
        <v>24</v>
      </c>
      <c r="H16" s="4572" t="s">
        <v>24</v>
      </c>
      <c r="I16" s="4572" t="s">
        <v>857</v>
      </c>
    </row>
    <row r="17" spans="1:9" ht="11.25" customHeight="1">
      <c r="A17" s="4572" t="s">
        <v>2309</v>
      </c>
      <c r="B17" s="4572" t="s">
        <v>14</v>
      </c>
      <c r="C17" s="4572" t="s">
        <v>2365</v>
      </c>
      <c r="D17" s="4572" t="s">
        <v>2366</v>
      </c>
      <c r="E17" s="4572" t="s">
        <v>2367</v>
      </c>
      <c r="F17" s="4572" t="s">
        <v>2368</v>
      </c>
      <c r="G17" s="4572" t="s">
        <v>24</v>
      </c>
      <c r="H17" s="4572" t="s">
        <v>24</v>
      </c>
      <c r="I17" s="4572" t="s">
        <v>857</v>
      </c>
    </row>
    <row r="18" spans="1:9" ht="11.25" customHeight="1">
      <c r="A18" s="4572" t="s">
        <v>2309</v>
      </c>
      <c r="B18" s="4572" t="s">
        <v>14</v>
      </c>
      <c r="C18" s="4572" t="s">
        <v>2369</v>
      </c>
      <c r="D18" s="4572" t="s">
        <v>2370</v>
      </c>
      <c r="E18" s="4572" t="s">
        <v>2371</v>
      </c>
      <c r="F18" s="4572" t="s">
        <v>2361</v>
      </c>
      <c r="G18" s="4572" t="s">
        <v>24</v>
      </c>
      <c r="H18" s="4572" t="s">
        <v>24</v>
      </c>
      <c r="I18" s="4572" t="s">
        <v>857</v>
      </c>
    </row>
    <row r="19" spans="1:9" ht="11.25" customHeight="1">
      <c r="A19" s="4572" t="s">
        <v>2309</v>
      </c>
      <c r="B19" s="4572" t="s">
        <v>14</v>
      </c>
      <c r="C19" s="4572" t="s">
        <v>2372</v>
      </c>
      <c r="D19" s="4572" t="s">
        <v>2373</v>
      </c>
      <c r="E19" s="4572" t="s">
        <v>2374</v>
      </c>
      <c r="F19" s="4572" t="s">
        <v>2375</v>
      </c>
      <c r="G19" s="4572" t="s">
        <v>2376</v>
      </c>
      <c r="H19" s="4572" t="s">
        <v>24</v>
      </c>
      <c r="I19" s="4572" t="s">
        <v>857</v>
      </c>
    </row>
    <row r="20" spans="1:9" ht="11.25" customHeight="1">
      <c r="A20" s="4572" t="s">
        <v>2309</v>
      </c>
      <c r="B20" s="4572" t="s">
        <v>14</v>
      </c>
      <c r="C20" s="4572" t="s">
        <v>2377</v>
      </c>
      <c r="D20" s="4572" t="s">
        <v>2378</v>
      </c>
      <c r="E20" s="4572" t="s">
        <v>2379</v>
      </c>
      <c r="F20" s="4572" t="s">
        <v>2380</v>
      </c>
      <c r="G20" s="4572" t="s">
        <v>24</v>
      </c>
      <c r="H20" s="4572" t="s">
        <v>24</v>
      </c>
      <c r="I20" s="4572" t="s">
        <v>857</v>
      </c>
    </row>
    <row r="21" spans="1:9" ht="11.25" customHeight="1">
      <c r="A21" s="4572" t="s">
        <v>2309</v>
      </c>
      <c r="B21" s="4572" t="s">
        <v>14</v>
      </c>
      <c r="C21" s="4572" t="s">
        <v>2381</v>
      </c>
      <c r="D21" s="4572" t="s">
        <v>2382</v>
      </c>
      <c r="E21" s="4572" t="s">
        <v>2383</v>
      </c>
      <c r="F21" s="4572" t="s">
        <v>2384</v>
      </c>
      <c r="G21" s="4572" t="s">
        <v>24</v>
      </c>
      <c r="H21" s="4572" t="s">
        <v>24</v>
      </c>
      <c r="I21" s="4572" t="s">
        <v>857</v>
      </c>
    </row>
    <row r="22" spans="1:9" ht="11.25" customHeight="1">
      <c r="A22" s="4572" t="s">
        <v>2309</v>
      </c>
      <c r="B22" s="4572" t="s">
        <v>14</v>
      </c>
      <c r="C22" s="4572" t="s">
        <v>2385</v>
      </c>
      <c r="D22" s="4572" t="s">
        <v>2386</v>
      </c>
      <c r="E22" s="4572" t="s">
        <v>2387</v>
      </c>
      <c r="F22" s="4572" t="s">
        <v>2388</v>
      </c>
      <c r="G22" s="4572" t="s">
        <v>24</v>
      </c>
      <c r="H22" s="4572" t="s">
        <v>24</v>
      </c>
      <c r="I22" s="4572" t="s">
        <v>857</v>
      </c>
    </row>
    <row r="23" spans="1:9" ht="11.25" customHeight="1">
      <c r="A23" s="4572" t="s">
        <v>2309</v>
      </c>
      <c r="B23" s="4572" t="s">
        <v>14</v>
      </c>
      <c r="C23" s="4572" t="s">
        <v>2389</v>
      </c>
      <c r="D23" s="4572" t="s">
        <v>2390</v>
      </c>
      <c r="E23" s="4572" t="s">
        <v>2387</v>
      </c>
      <c r="F23" s="4572" t="s">
        <v>2391</v>
      </c>
      <c r="G23" s="4572" t="s">
        <v>24</v>
      </c>
      <c r="H23" s="4572" t="s">
        <v>24</v>
      </c>
      <c r="I23" s="4572" t="s">
        <v>857</v>
      </c>
    </row>
    <row r="24" spans="1:9" ht="11.25" customHeight="1">
      <c r="A24" s="4572" t="s">
        <v>2309</v>
      </c>
      <c r="B24" s="4572" t="s">
        <v>14</v>
      </c>
      <c r="C24" s="4572" t="s">
        <v>2392</v>
      </c>
      <c r="D24" s="4572" t="s">
        <v>2393</v>
      </c>
      <c r="E24" s="4572" t="s">
        <v>2394</v>
      </c>
      <c r="F24" s="4572" t="s">
        <v>2395</v>
      </c>
      <c r="G24" s="4572" t="s">
        <v>24</v>
      </c>
      <c r="H24" s="4572" t="s">
        <v>24</v>
      </c>
      <c r="I24" s="4572" t="s">
        <v>857</v>
      </c>
    </row>
    <row r="25" spans="1:9" ht="11.25" customHeight="1">
      <c r="A25" s="4572" t="s">
        <v>2309</v>
      </c>
      <c r="B25" s="4572" t="s">
        <v>14</v>
      </c>
      <c r="C25" s="4572" t="s">
        <v>2396</v>
      </c>
      <c r="D25" s="4572" t="s">
        <v>2397</v>
      </c>
      <c r="E25" s="4572" t="s">
        <v>2398</v>
      </c>
      <c r="F25" s="4572" t="s">
        <v>2399</v>
      </c>
      <c r="G25" s="4572" t="s">
        <v>24</v>
      </c>
      <c r="H25" s="4572" t="s">
        <v>24</v>
      </c>
      <c r="I25" s="4572" t="s">
        <v>857</v>
      </c>
    </row>
    <row r="26" spans="1:9" ht="11.25" customHeight="1">
      <c r="A26" s="4572" t="s">
        <v>2309</v>
      </c>
      <c r="B26" s="4572" t="s">
        <v>14</v>
      </c>
      <c r="C26" s="4572" t="s">
        <v>2400</v>
      </c>
      <c r="D26" s="4572" t="s">
        <v>2401</v>
      </c>
      <c r="E26" s="4572" t="s">
        <v>2402</v>
      </c>
      <c r="F26" s="4572" t="s">
        <v>2403</v>
      </c>
      <c r="G26" s="4572" t="s">
        <v>24</v>
      </c>
      <c r="H26" s="4572" t="s">
        <v>24</v>
      </c>
      <c r="I26" s="4572" t="s">
        <v>857</v>
      </c>
    </row>
    <row r="27" spans="1:9" ht="11.25" customHeight="1">
      <c r="A27" s="4572" t="s">
        <v>2309</v>
      </c>
      <c r="B27" s="4572" t="s">
        <v>14</v>
      </c>
      <c r="C27" s="4572" t="s">
        <v>2404</v>
      </c>
      <c r="D27" s="4572" t="s">
        <v>2405</v>
      </c>
      <c r="E27" s="4572" t="s">
        <v>2406</v>
      </c>
      <c r="F27" s="4572" t="s">
        <v>2395</v>
      </c>
      <c r="G27" s="4572" t="s">
        <v>24</v>
      </c>
      <c r="H27" s="4572" t="s">
        <v>24</v>
      </c>
      <c r="I27" s="4572" t="s">
        <v>857</v>
      </c>
    </row>
    <row r="28" spans="1:9" ht="11.25" customHeight="1">
      <c r="A28" s="4572" t="s">
        <v>2309</v>
      </c>
      <c r="B28" s="4572" t="s">
        <v>14</v>
      </c>
      <c r="C28" s="4572" t="s">
        <v>2407</v>
      </c>
      <c r="D28" s="4572" t="s">
        <v>2408</v>
      </c>
      <c r="E28" s="4572" t="s">
        <v>2409</v>
      </c>
      <c r="F28" s="4572" t="s">
        <v>2403</v>
      </c>
      <c r="G28" s="4572" t="s">
        <v>24</v>
      </c>
      <c r="H28" s="4572" t="s">
        <v>24</v>
      </c>
      <c r="I28" s="4572" t="s">
        <v>857</v>
      </c>
    </row>
    <row r="29" spans="1:9" ht="11.25" customHeight="1">
      <c r="A29" s="4572" t="s">
        <v>2309</v>
      </c>
      <c r="B29" s="4572" t="s">
        <v>14</v>
      </c>
      <c r="C29" s="4572" t="s">
        <v>2410</v>
      </c>
      <c r="D29" s="4572" t="s">
        <v>2411</v>
      </c>
      <c r="E29" s="4572" t="s">
        <v>2412</v>
      </c>
      <c r="F29" s="4572" t="s">
        <v>2380</v>
      </c>
      <c r="G29" s="4572" t="s">
        <v>24</v>
      </c>
      <c r="H29" s="4572" t="s">
        <v>24</v>
      </c>
      <c r="I29" s="4572" t="s">
        <v>857</v>
      </c>
    </row>
    <row r="30" spans="1:9" ht="11.25" customHeight="1">
      <c r="A30" s="4572" t="s">
        <v>2309</v>
      </c>
      <c r="B30" s="4572" t="s">
        <v>14</v>
      </c>
      <c r="C30" s="4572" t="s">
        <v>2413</v>
      </c>
      <c r="D30" s="4572" t="s">
        <v>2414</v>
      </c>
      <c r="E30" s="4572" t="s">
        <v>2415</v>
      </c>
      <c r="F30" s="4572" t="s">
        <v>2380</v>
      </c>
      <c r="G30" s="4572" t="s">
        <v>2416</v>
      </c>
      <c r="H30" s="4572" t="s">
        <v>24</v>
      </c>
      <c r="I30" s="4572" t="s">
        <v>857</v>
      </c>
    </row>
    <row r="31" spans="1:9" ht="11.25" customHeight="1">
      <c r="A31" s="4572" t="s">
        <v>2309</v>
      </c>
      <c r="B31" s="4572" t="s">
        <v>14</v>
      </c>
      <c r="C31" s="4572" t="s">
        <v>2417</v>
      </c>
      <c r="D31" s="4572" t="s">
        <v>2418</v>
      </c>
      <c r="E31" s="4572" t="s">
        <v>2419</v>
      </c>
      <c r="F31" s="4572" t="s">
        <v>2420</v>
      </c>
      <c r="G31" s="4572" t="s">
        <v>2421</v>
      </c>
      <c r="H31" s="4572" t="s">
        <v>24</v>
      </c>
      <c r="I31" s="4572" t="s">
        <v>857</v>
      </c>
    </row>
    <row r="32" spans="1:9" ht="11.25" customHeight="1">
      <c r="A32" s="4572" t="s">
        <v>2309</v>
      </c>
      <c r="B32" s="4572" t="s">
        <v>14</v>
      </c>
      <c r="C32" s="4572" t="s">
        <v>2422</v>
      </c>
      <c r="D32" s="4572" t="s">
        <v>2423</v>
      </c>
      <c r="E32" s="4572" t="s">
        <v>2424</v>
      </c>
      <c r="F32" s="4572" t="s">
        <v>2380</v>
      </c>
      <c r="G32" s="4572" t="s">
        <v>24</v>
      </c>
      <c r="H32" s="4572" t="s">
        <v>24</v>
      </c>
      <c r="I32" s="4572" t="s">
        <v>857</v>
      </c>
    </row>
    <row r="33" spans="1:9" ht="11.25" customHeight="1">
      <c r="A33" s="4572" t="s">
        <v>2309</v>
      </c>
      <c r="B33" s="4572" t="s">
        <v>14</v>
      </c>
      <c r="C33" s="4572" t="s">
        <v>2425</v>
      </c>
      <c r="D33" s="4572" t="s">
        <v>2426</v>
      </c>
      <c r="E33" s="4572" t="s">
        <v>2427</v>
      </c>
      <c r="F33" s="4572" t="s">
        <v>2420</v>
      </c>
      <c r="G33" s="4572" t="s">
        <v>2428</v>
      </c>
      <c r="H33" s="4572" t="s">
        <v>24</v>
      </c>
      <c r="I33" s="4572" t="s">
        <v>857</v>
      </c>
    </row>
    <row r="34" spans="1:9" ht="11.25" customHeight="1">
      <c r="A34" s="4572" t="s">
        <v>2309</v>
      </c>
      <c r="B34" s="4572" t="s">
        <v>14</v>
      </c>
      <c r="C34" s="4572" t="s">
        <v>2429</v>
      </c>
      <c r="D34" s="4572" t="s">
        <v>2430</v>
      </c>
      <c r="E34" s="4572" t="s">
        <v>2431</v>
      </c>
      <c r="F34" s="4572" t="s">
        <v>2403</v>
      </c>
      <c r="G34" s="4572" t="s">
        <v>24</v>
      </c>
      <c r="H34" s="4572" t="s">
        <v>24</v>
      </c>
      <c r="I34" s="4572" t="s">
        <v>857</v>
      </c>
    </row>
    <row r="35" spans="1:9" ht="11.25" customHeight="1">
      <c r="A35" s="4572" t="s">
        <v>2309</v>
      </c>
      <c r="B35" s="4572" t="s">
        <v>14</v>
      </c>
      <c r="C35" s="4572" t="s">
        <v>2432</v>
      </c>
      <c r="D35" s="4572" t="s">
        <v>2433</v>
      </c>
      <c r="E35" s="4572" t="s">
        <v>2434</v>
      </c>
      <c r="F35" s="4572" t="s">
        <v>2395</v>
      </c>
      <c r="G35" s="4572" t="s">
        <v>24</v>
      </c>
      <c r="H35" s="4572" t="s">
        <v>24</v>
      </c>
      <c r="I35" s="4572" t="s">
        <v>857</v>
      </c>
    </row>
    <row r="36" spans="1:9" ht="11.25" customHeight="1">
      <c r="A36" s="4572" t="s">
        <v>2309</v>
      </c>
      <c r="B36" s="4572" t="s">
        <v>14</v>
      </c>
      <c r="C36" s="4572" t="s">
        <v>2435</v>
      </c>
      <c r="D36" s="4572" t="s">
        <v>2436</v>
      </c>
      <c r="E36" s="4572" t="s">
        <v>2437</v>
      </c>
      <c r="F36" s="4572" t="s">
        <v>2438</v>
      </c>
      <c r="G36" s="4572" t="s">
        <v>2439</v>
      </c>
      <c r="H36" s="4572" t="s">
        <v>24</v>
      </c>
      <c r="I36" s="4572" t="s">
        <v>857</v>
      </c>
    </row>
    <row r="37" spans="1:9" ht="11.25" customHeight="1">
      <c r="A37" s="4572" t="s">
        <v>2309</v>
      </c>
      <c r="B37" s="4572" t="s">
        <v>14</v>
      </c>
      <c r="C37" s="4572" t="s">
        <v>2440</v>
      </c>
      <c r="D37" s="4572" t="s">
        <v>2441</v>
      </c>
      <c r="E37" s="4572" t="s">
        <v>2442</v>
      </c>
      <c r="F37" s="4572" t="s">
        <v>2438</v>
      </c>
      <c r="G37" s="4572" t="s">
        <v>24</v>
      </c>
      <c r="H37" s="4572" t="s">
        <v>24</v>
      </c>
      <c r="I37" s="4572" t="s">
        <v>857</v>
      </c>
    </row>
    <row r="38" spans="1:9" ht="11.25" customHeight="1">
      <c r="A38" s="4572" t="s">
        <v>2309</v>
      </c>
      <c r="B38" s="4572" t="s">
        <v>14</v>
      </c>
      <c r="C38" s="4572" t="s">
        <v>2443</v>
      </c>
      <c r="D38" s="4572" t="s">
        <v>2444</v>
      </c>
      <c r="E38" s="4572" t="s">
        <v>2445</v>
      </c>
      <c r="F38" s="4572" t="s">
        <v>2361</v>
      </c>
      <c r="G38" s="4572" t="s">
        <v>2446</v>
      </c>
      <c r="H38" s="4572" t="s">
        <v>24</v>
      </c>
      <c r="I38" s="4572" t="s">
        <v>857</v>
      </c>
    </row>
    <row r="39" spans="1:9" ht="11.25" customHeight="1">
      <c r="A39" s="4572" t="s">
        <v>2309</v>
      </c>
      <c r="B39" s="4572" t="s">
        <v>14</v>
      </c>
      <c r="C39" s="4572" t="s">
        <v>2447</v>
      </c>
      <c r="D39" s="4572" t="s">
        <v>2448</v>
      </c>
      <c r="E39" s="4572" t="s">
        <v>2449</v>
      </c>
      <c r="F39" s="4572" t="s">
        <v>2375</v>
      </c>
      <c r="G39" s="4572" t="s">
        <v>24</v>
      </c>
      <c r="H39" s="4572" t="s">
        <v>24</v>
      </c>
      <c r="I39" s="4572" t="s">
        <v>857</v>
      </c>
    </row>
    <row r="40" spans="1:9" ht="11.25" customHeight="1">
      <c r="A40" s="4572" t="s">
        <v>2309</v>
      </c>
      <c r="B40" s="4572" t="s">
        <v>14</v>
      </c>
      <c r="C40" s="4572" t="s">
        <v>2450</v>
      </c>
      <c r="D40" s="4572" t="s">
        <v>2451</v>
      </c>
      <c r="E40" s="4572" t="s">
        <v>2452</v>
      </c>
      <c r="F40" s="4572" t="s">
        <v>2403</v>
      </c>
      <c r="G40" s="4572" t="s">
        <v>24</v>
      </c>
      <c r="H40" s="4572" t="s">
        <v>24</v>
      </c>
      <c r="I40" s="4572" t="s">
        <v>857</v>
      </c>
    </row>
    <row r="41" spans="1:9" ht="11.25" customHeight="1">
      <c r="A41" s="4572" t="s">
        <v>2309</v>
      </c>
      <c r="B41" s="4572" t="s">
        <v>14</v>
      </c>
      <c r="C41" s="4572" t="s">
        <v>2453</v>
      </c>
      <c r="D41" s="4572" t="s">
        <v>2454</v>
      </c>
      <c r="E41" s="4572" t="s">
        <v>2455</v>
      </c>
      <c r="F41" s="4572" t="s">
        <v>2380</v>
      </c>
      <c r="G41" s="4572" t="s">
        <v>24</v>
      </c>
      <c r="H41" s="4572" t="s">
        <v>24</v>
      </c>
      <c r="I41" s="4572" t="s">
        <v>857</v>
      </c>
    </row>
    <row r="42" spans="1:9" ht="11.25" customHeight="1">
      <c r="A42" s="4572" t="s">
        <v>2309</v>
      </c>
      <c r="B42" s="4572" t="s">
        <v>14</v>
      </c>
      <c r="C42" s="4572" t="s">
        <v>2456</v>
      </c>
      <c r="D42" s="4572" t="s">
        <v>2457</v>
      </c>
      <c r="E42" s="4572" t="s">
        <v>2458</v>
      </c>
      <c r="F42" s="4572" t="s">
        <v>2403</v>
      </c>
      <c r="G42" s="4572" t="s">
        <v>2459</v>
      </c>
      <c r="H42" s="4572" t="s">
        <v>24</v>
      </c>
      <c r="I42" s="4572" t="s">
        <v>857</v>
      </c>
    </row>
    <row r="43" spans="1:9" ht="11.25" customHeight="1">
      <c r="A43" s="4572" t="s">
        <v>2309</v>
      </c>
      <c r="B43" s="4572" t="s">
        <v>14</v>
      </c>
      <c r="C43" s="4572" t="s">
        <v>2460</v>
      </c>
      <c r="D43" s="4572" t="s">
        <v>2461</v>
      </c>
      <c r="E43" s="4572" t="s">
        <v>2462</v>
      </c>
      <c r="F43" s="4572" t="s">
        <v>2395</v>
      </c>
      <c r="G43" s="4572" t="s">
        <v>24</v>
      </c>
      <c r="H43" s="4572" t="s">
        <v>24</v>
      </c>
      <c r="I43" s="4572" t="s">
        <v>857</v>
      </c>
    </row>
    <row r="44" spans="1:9" ht="11.25" customHeight="1">
      <c r="A44" s="4572" t="s">
        <v>2309</v>
      </c>
      <c r="B44" s="4572" t="s">
        <v>14</v>
      </c>
      <c r="C44" s="4572" t="s">
        <v>2463</v>
      </c>
      <c r="D44" s="4572" t="s">
        <v>2464</v>
      </c>
      <c r="E44" s="4572" t="s">
        <v>2465</v>
      </c>
      <c r="F44" s="4572" t="s">
        <v>2361</v>
      </c>
      <c r="G44" s="4572" t="s">
        <v>24</v>
      </c>
      <c r="H44" s="4572" t="s">
        <v>24</v>
      </c>
      <c r="I44" s="4572" t="s">
        <v>857</v>
      </c>
    </row>
    <row r="45" spans="1:9" ht="11.25" customHeight="1">
      <c r="A45" s="4572" t="s">
        <v>2309</v>
      </c>
      <c r="B45" s="4572" t="s">
        <v>14</v>
      </c>
      <c r="C45" s="4572" t="s">
        <v>2466</v>
      </c>
      <c r="D45" s="4572" t="s">
        <v>2467</v>
      </c>
      <c r="E45" s="4572" t="s">
        <v>2468</v>
      </c>
      <c r="F45" s="4572" t="s">
        <v>2420</v>
      </c>
      <c r="G45" s="4572" t="s">
        <v>24</v>
      </c>
      <c r="H45" s="4572" t="s">
        <v>24</v>
      </c>
      <c r="I45" s="4572" t="s">
        <v>857</v>
      </c>
    </row>
    <row r="46" spans="1:9" ht="11.25" customHeight="1">
      <c r="A46" s="4572" t="s">
        <v>2309</v>
      </c>
      <c r="B46" s="4572" t="s">
        <v>14</v>
      </c>
      <c r="C46" s="4572" t="s">
        <v>2469</v>
      </c>
      <c r="D46" s="4572" t="s">
        <v>2470</v>
      </c>
      <c r="E46" s="4572" t="s">
        <v>2471</v>
      </c>
      <c r="F46" s="4572" t="s">
        <v>2420</v>
      </c>
      <c r="G46" s="4572" t="s">
        <v>24</v>
      </c>
      <c r="H46" s="4572" t="s">
        <v>24</v>
      </c>
      <c r="I46" s="4572" t="s">
        <v>857</v>
      </c>
    </row>
    <row r="47" spans="1:9" ht="11.25" customHeight="1">
      <c r="A47" s="4572" t="s">
        <v>2309</v>
      </c>
      <c r="B47" s="4572" t="s">
        <v>14</v>
      </c>
      <c r="C47" s="4572" t="s">
        <v>2472</v>
      </c>
      <c r="D47" s="4572" t="s">
        <v>2473</v>
      </c>
      <c r="E47" s="4572" t="s">
        <v>2474</v>
      </c>
      <c r="F47" s="4572" t="s">
        <v>2361</v>
      </c>
      <c r="G47" s="4572" t="s">
        <v>24</v>
      </c>
      <c r="H47" s="4572" t="s">
        <v>24</v>
      </c>
      <c r="I47" s="4572" t="s">
        <v>857</v>
      </c>
    </row>
    <row r="48" spans="1:9" ht="11.25" customHeight="1">
      <c r="A48" s="4572" t="s">
        <v>2309</v>
      </c>
      <c r="B48" s="4572" t="s">
        <v>14</v>
      </c>
      <c r="C48" s="4572" t="s">
        <v>2475</v>
      </c>
      <c r="D48" s="4572" t="s">
        <v>2476</v>
      </c>
      <c r="E48" s="4572" t="s">
        <v>2477</v>
      </c>
      <c r="F48" s="4572" t="s">
        <v>2332</v>
      </c>
      <c r="G48" s="4572" t="s">
        <v>24</v>
      </c>
      <c r="H48" s="4572" t="s">
        <v>24</v>
      </c>
      <c r="I48" s="4572" t="s">
        <v>857</v>
      </c>
    </row>
    <row r="49" spans="1:9" ht="11.25" customHeight="1">
      <c r="A49" s="4572" t="s">
        <v>2309</v>
      </c>
      <c r="B49" s="4572" t="s">
        <v>14</v>
      </c>
      <c r="C49" s="4572" t="s">
        <v>2478</v>
      </c>
      <c r="D49" s="4572" t="s">
        <v>2479</v>
      </c>
      <c r="E49" s="4572" t="s">
        <v>2480</v>
      </c>
      <c r="F49" s="4572" t="s">
        <v>2316</v>
      </c>
      <c r="G49" s="4572" t="s">
        <v>24</v>
      </c>
      <c r="H49" s="4572" t="s">
        <v>24</v>
      </c>
      <c r="I49" s="4572" t="s">
        <v>857</v>
      </c>
    </row>
    <row r="50" spans="1:9" ht="11.25" customHeight="1">
      <c r="A50" s="4572" t="s">
        <v>2309</v>
      </c>
      <c r="B50" s="4572" t="s">
        <v>14</v>
      </c>
      <c r="C50" s="4572" t="s">
        <v>2481</v>
      </c>
      <c r="D50" s="4572" t="s">
        <v>2482</v>
      </c>
      <c r="E50" s="4572" t="s">
        <v>2483</v>
      </c>
      <c r="F50" s="4572" t="s">
        <v>2420</v>
      </c>
      <c r="G50" s="4572" t="s">
        <v>2484</v>
      </c>
      <c r="H50" s="4572" t="s">
        <v>24</v>
      </c>
      <c r="I50" s="4572" t="s">
        <v>857</v>
      </c>
    </row>
    <row r="51" spans="1:9" ht="11.25" customHeight="1">
      <c r="A51" s="4572" t="s">
        <v>2309</v>
      </c>
      <c r="B51" s="4572" t="s">
        <v>14</v>
      </c>
      <c r="C51" s="4572" t="s">
        <v>2485</v>
      </c>
      <c r="D51" s="4572" t="s">
        <v>2486</v>
      </c>
      <c r="E51" s="4572" t="s">
        <v>2487</v>
      </c>
      <c r="F51" s="4572" t="s">
        <v>2438</v>
      </c>
      <c r="G51" s="4572" t="s">
        <v>24</v>
      </c>
      <c r="H51" s="4572" t="s">
        <v>24</v>
      </c>
      <c r="I51" s="4572" t="s">
        <v>857</v>
      </c>
    </row>
    <row r="52" spans="1:9" ht="11.25" customHeight="1">
      <c r="A52" s="4572" t="s">
        <v>2309</v>
      </c>
      <c r="B52" s="4572" t="s">
        <v>14</v>
      </c>
      <c r="C52" s="4572" t="s">
        <v>2488</v>
      </c>
      <c r="D52" s="4572" t="s">
        <v>2489</v>
      </c>
      <c r="E52" s="4572" t="s">
        <v>2490</v>
      </c>
      <c r="F52" s="4572" t="s">
        <v>2491</v>
      </c>
      <c r="G52" s="4572" t="s">
        <v>24</v>
      </c>
      <c r="H52" s="4572" t="s">
        <v>24</v>
      </c>
      <c r="I52" s="4572" t="s">
        <v>857</v>
      </c>
    </row>
    <row r="53" spans="1:9" ht="11.25" customHeight="1">
      <c r="A53" s="4572" t="s">
        <v>2309</v>
      </c>
      <c r="B53" s="4572" t="s">
        <v>14</v>
      </c>
      <c r="C53" s="4572" t="s">
        <v>2492</v>
      </c>
      <c r="D53" s="4572" t="s">
        <v>2493</v>
      </c>
      <c r="E53" s="4572" t="s">
        <v>2494</v>
      </c>
      <c r="F53" s="4572" t="s">
        <v>2316</v>
      </c>
      <c r="G53" s="4572" t="s">
        <v>2495</v>
      </c>
      <c r="H53" s="4572" t="s">
        <v>24</v>
      </c>
      <c r="I53" s="4572" t="s">
        <v>857</v>
      </c>
    </row>
    <row r="54" spans="1:9" ht="11.25" customHeight="1">
      <c r="A54" s="4572" t="s">
        <v>2309</v>
      </c>
      <c r="B54" s="4572" t="s">
        <v>14</v>
      </c>
      <c r="C54" s="4572" t="s">
        <v>2496</v>
      </c>
      <c r="D54" s="4572" t="s">
        <v>2497</v>
      </c>
      <c r="E54" s="4572" t="s">
        <v>2498</v>
      </c>
      <c r="F54" s="4572" t="s">
        <v>2438</v>
      </c>
      <c r="G54" s="4572" t="s">
        <v>24</v>
      </c>
      <c r="H54" s="4572" t="s">
        <v>24</v>
      </c>
      <c r="I54" s="4572" t="s">
        <v>857</v>
      </c>
    </row>
    <row r="55" spans="1:9" ht="11.25" customHeight="1">
      <c r="A55" s="4572" t="s">
        <v>2309</v>
      </c>
      <c r="B55" s="4572" t="s">
        <v>14</v>
      </c>
      <c r="C55" s="4572" t="s">
        <v>2499</v>
      </c>
      <c r="D55" s="4572" t="s">
        <v>2500</v>
      </c>
      <c r="E55" s="4572" t="s">
        <v>2501</v>
      </c>
      <c r="F55" s="4572" t="s">
        <v>2361</v>
      </c>
      <c r="G55" s="4572" t="s">
        <v>24</v>
      </c>
      <c r="H55" s="4572" t="s">
        <v>24</v>
      </c>
      <c r="I55" s="4572" t="s">
        <v>857</v>
      </c>
    </row>
    <row r="56" spans="1:9" ht="11.25" customHeight="1">
      <c r="A56" s="4572" t="s">
        <v>2309</v>
      </c>
      <c r="B56" s="4572" t="s">
        <v>14</v>
      </c>
      <c r="C56" s="4572" t="s">
        <v>2502</v>
      </c>
      <c r="D56" s="4572" t="s">
        <v>2503</v>
      </c>
      <c r="E56" s="4572" t="s">
        <v>2504</v>
      </c>
      <c r="F56" s="4572" t="s">
        <v>2403</v>
      </c>
      <c r="G56" s="4572" t="s">
        <v>24</v>
      </c>
      <c r="H56" s="4572" t="s">
        <v>24</v>
      </c>
      <c r="I56" s="4572" t="s">
        <v>857</v>
      </c>
    </row>
    <row r="57" spans="1:9" ht="11.25" customHeight="1">
      <c r="A57" s="4572" t="s">
        <v>2309</v>
      </c>
      <c r="B57" s="4572" t="s">
        <v>14</v>
      </c>
      <c r="C57" s="4572" t="s">
        <v>2505</v>
      </c>
      <c r="D57" s="4572" t="s">
        <v>2506</v>
      </c>
      <c r="E57" s="4572" t="s">
        <v>2507</v>
      </c>
      <c r="F57" s="4572" t="s">
        <v>2508</v>
      </c>
      <c r="G57" s="4572" t="s">
        <v>24</v>
      </c>
      <c r="H57" s="4572" t="s">
        <v>24</v>
      </c>
      <c r="I57" s="4572" t="s">
        <v>857</v>
      </c>
    </row>
    <row r="58" spans="1:9" ht="11.25" customHeight="1">
      <c r="A58" s="4572" t="s">
        <v>2309</v>
      </c>
      <c r="B58" s="4572" t="s">
        <v>14</v>
      </c>
      <c r="C58" s="4572" t="s">
        <v>2509</v>
      </c>
      <c r="D58" s="4572" t="s">
        <v>2510</v>
      </c>
      <c r="E58" s="4572" t="s">
        <v>2511</v>
      </c>
      <c r="F58" s="4572" t="s">
        <v>2438</v>
      </c>
      <c r="G58" s="4572" t="s">
        <v>24</v>
      </c>
      <c r="H58" s="4572" t="s">
        <v>24</v>
      </c>
      <c r="I58" s="4572" t="s">
        <v>857</v>
      </c>
    </row>
    <row r="59" spans="1:9" ht="11.25" customHeight="1">
      <c r="A59" s="4572" t="s">
        <v>2309</v>
      </c>
      <c r="B59" s="4572" t="s">
        <v>14</v>
      </c>
      <c r="C59" s="4572" t="s">
        <v>2512</v>
      </c>
      <c r="D59" s="4572" t="s">
        <v>2513</v>
      </c>
      <c r="E59" s="4572" t="s">
        <v>2514</v>
      </c>
      <c r="F59" s="4572" t="s">
        <v>2438</v>
      </c>
      <c r="G59" s="4572" t="s">
        <v>24</v>
      </c>
      <c r="H59" s="4572" t="s">
        <v>24</v>
      </c>
      <c r="I59" s="4572" t="s">
        <v>857</v>
      </c>
    </row>
    <row r="60" spans="1:9" ht="11.25" customHeight="1">
      <c r="A60" s="4572" t="s">
        <v>2309</v>
      </c>
      <c r="B60" s="4572" t="s">
        <v>14</v>
      </c>
      <c r="C60" s="4572" t="s">
        <v>2515</v>
      </c>
      <c r="D60" s="4572" t="s">
        <v>2516</v>
      </c>
      <c r="E60" s="4572" t="s">
        <v>2517</v>
      </c>
      <c r="F60" s="4572" t="s">
        <v>2399</v>
      </c>
      <c r="G60" s="4572" t="s">
        <v>24</v>
      </c>
      <c r="H60" s="4572" t="s">
        <v>24</v>
      </c>
      <c r="I60" s="4572" t="s">
        <v>857</v>
      </c>
    </row>
    <row r="61" spans="1:9" ht="11.25" customHeight="1">
      <c r="A61" s="4572" t="s">
        <v>2309</v>
      </c>
      <c r="B61" s="4572" t="s">
        <v>14</v>
      </c>
      <c r="C61" s="4572" t="s">
        <v>2518</v>
      </c>
      <c r="D61" s="4572" t="s">
        <v>2519</v>
      </c>
      <c r="E61" s="4572" t="s">
        <v>2520</v>
      </c>
      <c r="F61" s="4572" t="s">
        <v>2521</v>
      </c>
      <c r="G61" s="4572" t="s">
        <v>2522</v>
      </c>
      <c r="H61" s="4572" t="s">
        <v>24</v>
      </c>
      <c r="I61" s="4572" t="s">
        <v>857</v>
      </c>
    </row>
    <row r="62" spans="1:9" ht="11.25" customHeight="1">
      <c r="A62" s="4572" t="s">
        <v>2309</v>
      </c>
      <c r="B62" s="4572" t="s">
        <v>14</v>
      </c>
      <c r="C62" s="4572" t="s">
        <v>2523</v>
      </c>
      <c r="D62" s="4572" t="s">
        <v>2524</v>
      </c>
      <c r="E62" s="4572" t="s">
        <v>2525</v>
      </c>
      <c r="F62" s="4572" t="s">
        <v>2399</v>
      </c>
      <c r="G62" s="4572" t="s">
        <v>24</v>
      </c>
      <c r="H62" s="4572" t="s">
        <v>24</v>
      </c>
      <c r="I62" s="4572" t="s">
        <v>857</v>
      </c>
    </row>
    <row r="63" spans="1:9" ht="11.25" customHeight="1">
      <c r="A63" s="4572" t="s">
        <v>2309</v>
      </c>
      <c r="B63" s="4572" t="s">
        <v>14</v>
      </c>
      <c r="C63" s="4572" t="s">
        <v>2526</v>
      </c>
      <c r="D63" s="4572" t="s">
        <v>2527</v>
      </c>
      <c r="E63" s="4572" t="s">
        <v>2528</v>
      </c>
      <c r="F63" s="4572" t="s">
        <v>2403</v>
      </c>
      <c r="G63" s="4572" t="s">
        <v>24</v>
      </c>
      <c r="H63" s="4572" t="s">
        <v>24</v>
      </c>
      <c r="I63" s="4572" t="s">
        <v>857</v>
      </c>
    </row>
    <row r="64" spans="1:9" ht="11.25" customHeight="1">
      <c r="A64" s="4572" t="s">
        <v>2309</v>
      </c>
      <c r="B64" s="4572" t="s">
        <v>14</v>
      </c>
      <c r="C64" s="4572" t="s">
        <v>2529</v>
      </c>
      <c r="D64" s="4572" t="s">
        <v>2530</v>
      </c>
      <c r="E64" s="4572" t="s">
        <v>2531</v>
      </c>
      <c r="F64" s="4572" t="s">
        <v>2375</v>
      </c>
      <c r="G64" s="4572" t="s">
        <v>24</v>
      </c>
      <c r="H64" s="4572" t="s">
        <v>24</v>
      </c>
      <c r="I64" s="4572" t="s">
        <v>857</v>
      </c>
    </row>
    <row r="65" spans="1:9" ht="11.25" customHeight="1">
      <c r="A65" s="4572" t="s">
        <v>2309</v>
      </c>
      <c r="B65" s="4572" t="s">
        <v>14</v>
      </c>
      <c r="C65" s="4572" t="s">
        <v>2532</v>
      </c>
      <c r="D65" s="4572" t="s">
        <v>2533</v>
      </c>
      <c r="E65" s="4572" t="s">
        <v>2534</v>
      </c>
      <c r="F65" s="4572" t="s">
        <v>2324</v>
      </c>
      <c r="G65" s="4572" t="s">
        <v>2535</v>
      </c>
      <c r="H65" s="4572" t="s">
        <v>24</v>
      </c>
      <c r="I65" s="4572" t="s">
        <v>857</v>
      </c>
    </row>
    <row r="66" spans="1:9" ht="11.25" customHeight="1">
      <c r="A66" s="4572" t="s">
        <v>2309</v>
      </c>
      <c r="B66" s="4572" t="s">
        <v>14</v>
      </c>
      <c r="C66" s="4572" t="s">
        <v>2536</v>
      </c>
      <c r="D66" s="4572" t="s">
        <v>2537</v>
      </c>
      <c r="E66" s="4572" t="s">
        <v>2538</v>
      </c>
      <c r="F66" s="4572" t="s">
        <v>2420</v>
      </c>
      <c r="G66" s="4572" t="s">
        <v>2539</v>
      </c>
      <c r="H66" s="4572" t="s">
        <v>24</v>
      </c>
      <c r="I66" s="4572" t="s">
        <v>857</v>
      </c>
    </row>
    <row r="67" spans="1:9" ht="11.25" customHeight="1">
      <c r="A67" s="4572" t="s">
        <v>2309</v>
      </c>
      <c r="B67" s="4572" t="s">
        <v>14</v>
      </c>
      <c r="C67" s="4572" t="s">
        <v>2540</v>
      </c>
      <c r="D67" s="4572" t="s">
        <v>2541</v>
      </c>
      <c r="E67" s="4572" t="s">
        <v>2542</v>
      </c>
      <c r="F67" s="4572" t="s">
        <v>2395</v>
      </c>
      <c r="G67" s="4572" t="s">
        <v>2543</v>
      </c>
      <c r="H67" s="4572" t="s">
        <v>24</v>
      </c>
      <c r="I67" s="4572" t="s">
        <v>857</v>
      </c>
    </row>
    <row r="68" spans="1:9" ht="11.25" customHeight="1">
      <c r="A68" s="4572" t="s">
        <v>2309</v>
      </c>
      <c r="B68" s="4572" t="s">
        <v>14</v>
      </c>
      <c r="C68" s="4572" t="s">
        <v>2544</v>
      </c>
      <c r="D68" s="4572" t="s">
        <v>2541</v>
      </c>
      <c r="E68" s="4572" t="s">
        <v>2545</v>
      </c>
      <c r="F68" s="4572" t="s">
        <v>50</v>
      </c>
      <c r="G68" s="4572" t="s">
        <v>24</v>
      </c>
      <c r="H68" s="4572" t="s">
        <v>24</v>
      </c>
      <c r="I68" s="4572" t="s">
        <v>857</v>
      </c>
    </row>
    <row r="69" spans="1:9" ht="11.25" customHeight="1">
      <c r="A69" s="4572" t="s">
        <v>2309</v>
      </c>
      <c r="B69" s="4572" t="s">
        <v>14</v>
      </c>
      <c r="C69" s="4572" t="s">
        <v>2546</v>
      </c>
      <c r="D69" s="4572" t="s">
        <v>2547</v>
      </c>
      <c r="E69" s="4572" t="s">
        <v>2548</v>
      </c>
      <c r="F69" s="4572" t="s">
        <v>2549</v>
      </c>
      <c r="G69" s="4572" t="s">
        <v>24</v>
      </c>
      <c r="H69" s="4572" t="s">
        <v>2550</v>
      </c>
      <c r="I69" s="4572" t="s">
        <v>857</v>
      </c>
    </row>
    <row r="70" spans="1:9" ht="11.25" customHeight="1">
      <c r="A70" s="4572" t="s">
        <v>2309</v>
      </c>
      <c r="B70" s="4572" t="s">
        <v>14</v>
      </c>
      <c r="C70" s="4572" t="s">
        <v>2551</v>
      </c>
      <c r="D70" s="4572" t="s">
        <v>2552</v>
      </c>
      <c r="E70" s="4572" t="s">
        <v>2553</v>
      </c>
      <c r="F70" s="4572" t="s">
        <v>2316</v>
      </c>
      <c r="G70" s="4572" t="s">
        <v>24</v>
      </c>
      <c r="H70" s="4572" t="s">
        <v>24</v>
      </c>
      <c r="I70" s="4572" t="s">
        <v>857</v>
      </c>
    </row>
    <row r="71" spans="1:9" ht="11.25" customHeight="1">
      <c r="A71" s="4572" t="s">
        <v>2309</v>
      </c>
      <c r="B71" s="4572" t="s">
        <v>14</v>
      </c>
      <c r="C71" s="4572" t="s">
        <v>2554</v>
      </c>
      <c r="D71" s="4572" t="s">
        <v>2555</v>
      </c>
      <c r="E71" s="4572" t="s">
        <v>2556</v>
      </c>
      <c r="F71" s="4572" t="s">
        <v>2324</v>
      </c>
      <c r="G71" s="4572" t="s">
        <v>24</v>
      </c>
      <c r="H71" s="4572" t="s">
        <v>24</v>
      </c>
      <c r="I71" s="4572" t="s">
        <v>857</v>
      </c>
    </row>
    <row r="72" spans="1:9" ht="11.25" customHeight="1">
      <c r="A72" s="4572" t="s">
        <v>2309</v>
      </c>
      <c r="B72" s="4572" t="s">
        <v>14</v>
      </c>
      <c r="C72" s="4572" t="s">
        <v>2557</v>
      </c>
      <c r="D72" s="4572" t="s">
        <v>2558</v>
      </c>
      <c r="E72" s="4572" t="s">
        <v>2559</v>
      </c>
      <c r="F72" s="4572" t="s">
        <v>2399</v>
      </c>
      <c r="G72" s="4572" t="s">
        <v>24</v>
      </c>
      <c r="H72" s="4572" t="s">
        <v>24</v>
      </c>
      <c r="I72" s="4572" t="s">
        <v>857</v>
      </c>
    </row>
    <row r="73" spans="1:9" ht="11.25" customHeight="1">
      <c r="A73" s="4572" t="s">
        <v>2309</v>
      </c>
      <c r="B73" s="4572" t="s">
        <v>14</v>
      </c>
      <c r="C73" s="4572" t="s">
        <v>2560</v>
      </c>
      <c r="D73" s="4572" t="s">
        <v>2561</v>
      </c>
      <c r="E73" s="4572" t="s">
        <v>2562</v>
      </c>
      <c r="F73" s="4572" t="s">
        <v>2438</v>
      </c>
      <c r="G73" s="4572" t="s">
        <v>24</v>
      </c>
      <c r="H73" s="4572" t="s">
        <v>24</v>
      </c>
      <c r="I73" s="4572" t="s">
        <v>857</v>
      </c>
    </row>
    <row r="74" spans="1:9" ht="11.25" customHeight="1">
      <c r="A74" s="4572" t="s">
        <v>2309</v>
      </c>
      <c r="B74" s="4572" t="s">
        <v>14</v>
      </c>
      <c r="C74" s="4572" t="s">
        <v>2563</v>
      </c>
      <c r="D74" s="4572" t="s">
        <v>2564</v>
      </c>
      <c r="E74" s="4572" t="s">
        <v>2565</v>
      </c>
      <c r="F74" s="4572" t="s">
        <v>2361</v>
      </c>
      <c r="G74" s="4572" t="s">
        <v>24</v>
      </c>
      <c r="H74" s="4572" t="s">
        <v>24</v>
      </c>
      <c r="I74" s="4572" t="s">
        <v>857</v>
      </c>
    </row>
    <row r="75" spans="1:9" ht="11.25" customHeight="1">
      <c r="A75" s="4572" t="s">
        <v>2309</v>
      </c>
      <c r="B75" s="4572" t="s">
        <v>14</v>
      </c>
      <c r="C75" s="4572" t="s">
        <v>2566</v>
      </c>
      <c r="D75" s="4572" t="s">
        <v>2567</v>
      </c>
      <c r="E75" s="4572" t="s">
        <v>2568</v>
      </c>
      <c r="F75" s="4572" t="s">
        <v>2316</v>
      </c>
      <c r="G75" s="4572" t="s">
        <v>24</v>
      </c>
      <c r="H75" s="4572" t="s">
        <v>24</v>
      </c>
      <c r="I75" s="4572" t="s">
        <v>857</v>
      </c>
    </row>
    <row r="76" spans="1:9" ht="11.25" customHeight="1">
      <c r="A76" s="4572" t="s">
        <v>2309</v>
      </c>
      <c r="B76" s="4572" t="s">
        <v>14</v>
      </c>
      <c r="C76" s="4572" t="s">
        <v>2569</v>
      </c>
      <c r="D76" s="4572" t="s">
        <v>2570</v>
      </c>
      <c r="E76" s="4572" t="s">
        <v>2571</v>
      </c>
      <c r="F76" s="4572" t="s">
        <v>2361</v>
      </c>
      <c r="G76" s="4572" t="s">
        <v>24</v>
      </c>
      <c r="H76" s="4572" t="s">
        <v>24</v>
      </c>
      <c r="I76" s="4572" t="s">
        <v>857</v>
      </c>
    </row>
    <row r="77" spans="1:9" ht="11.25" customHeight="1">
      <c r="A77" s="4572" t="s">
        <v>2309</v>
      </c>
      <c r="B77" s="4572" t="s">
        <v>14</v>
      </c>
      <c r="C77" s="4572" t="s">
        <v>2572</v>
      </c>
      <c r="D77" s="4572" t="s">
        <v>2573</v>
      </c>
      <c r="E77" s="4572" t="s">
        <v>2574</v>
      </c>
      <c r="F77" s="4572" t="s">
        <v>2375</v>
      </c>
      <c r="G77" s="4572" t="s">
        <v>24</v>
      </c>
      <c r="H77" s="4572" t="s">
        <v>24</v>
      </c>
      <c r="I77" s="4572" t="s">
        <v>857</v>
      </c>
    </row>
    <row r="78" spans="1:9" ht="11.25" customHeight="1">
      <c r="A78" s="4572" t="s">
        <v>2309</v>
      </c>
      <c r="B78" s="4572" t="s">
        <v>14</v>
      </c>
      <c r="C78" s="4572" t="s">
        <v>2575</v>
      </c>
      <c r="D78" s="4572" t="s">
        <v>2576</v>
      </c>
      <c r="E78" s="4572" t="s">
        <v>2577</v>
      </c>
      <c r="F78" s="4572" t="s">
        <v>2549</v>
      </c>
      <c r="G78" s="4572" t="s">
        <v>24</v>
      </c>
      <c r="H78" s="4572" t="s">
        <v>24</v>
      </c>
      <c r="I78" s="4572" t="s">
        <v>857</v>
      </c>
    </row>
    <row r="79" spans="1:9" ht="11.25" customHeight="1">
      <c r="A79" s="4572" t="s">
        <v>2309</v>
      </c>
      <c r="B79" s="4572" t="s">
        <v>14</v>
      </c>
      <c r="C79" s="4572" t="s">
        <v>2578</v>
      </c>
      <c r="D79" s="4572" t="s">
        <v>2579</v>
      </c>
      <c r="E79" s="4572" t="s">
        <v>2580</v>
      </c>
      <c r="F79" s="4572" t="s">
        <v>2549</v>
      </c>
      <c r="G79" s="4572" t="s">
        <v>24</v>
      </c>
      <c r="H79" s="4572" t="s">
        <v>24</v>
      </c>
      <c r="I79" s="4572" t="s">
        <v>857</v>
      </c>
    </row>
    <row r="80" spans="1:9" ht="11.25" customHeight="1">
      <c r="A80" s="4572" t="s">
        <v>2309</v>
      </c>
      <c r="B80" s="4572" t="s">
        <v>14</v>
      </c>
      <c r="C80" s="4572" t="s">
        <v>2581</v>
      </c>
      <c r="D80" s="4572" t="s">
        <v>2582</v>
      </c>
      <c r="E80" s="4572" t="s">
        <v>2583</v>
      </c>
      <c r="F80" s="4572" t="s">
        <v>2549</v>
      </c>
      <c r="G80" s="4572" t="s">
        <v>24</v>
      </c>
      <c r="H80" s="4572" t="s">
        <v>24</v>
      </c>
      <c r="I80" s="4572" t="s">
        <v>857</v>
      </c>
    </row>
    <row r="81" spans="1:9" ht="11.25" customHeight="1">
      <c r="A81" s="4572" t="s">
        <v>2309</v>
      </c>
      <c r="B81" s="4572" t="s">
        <v>14</v>
      </c>
      <c r="C81" s="4572" t="s">
        <v>2584</v>
      </c>
      <c r="D81" s="4572" t="s">
        <v>2585</v>
      </c>
      <c r="E81" s="4572" t="s">
        <v>2586</v>
      </c>
      <c r="F81" s="4572" t="s">
        <v>2438</v>
      </c>
      <c r="G81" s="4572" t="s">
        <v>24</v>
      </c>
      <c r="H81" s="4572" t="s">
        <v>24</v>
      </c>
      <c r="I81" s="4572" t="s">
        <v>857</v>
      </c>
    </row>
    <row r="82" spans="1:9" ht="11.25" customHeight="1">
      <c r="A82" s="4572" t="s">
        <v>2309</v>
      </c>
      <c r="B82" s="4572" t="s">
        <v>14</v>
      </c>
      <c r="C82" s="4572" t="s">
        <v>2587</v>
      </c>
      <c r="D82" s="4572" t="s">
        <v>2588</v>
      </c>
      <c r="E82" s="4572" t="s">
        <v>2589</v>
      </c>
      <c r="F82" s="4572" t="s">
        <v>2375</v>
      </c>
      <c r="G82" s="4572" t="s">
        <v>2590</v>
      </c>
      <c r="H82" s="4572" t="s">
        <v>24</v>
      </c>
      <c r="I82" s="4572" t="s">
        <v>857</v>
      </c>
    </row>
    <row r="83" spans="1:9" ht="11.25" customHeight="1">
      <c r="A83" s="4572" t="s">
        <v>2309</v>
      </c>
      <c r="B83" s="4572" t="s">
        <v>14</v>
      </c>
      <c r="C83" s="4572" t="s">
        <v>2591</v>
      </c>
      <c r="D83" s="4572" t="s">
        <v>2592</v>
      </c>
      <c r="E83" s="4572" t="s">
        <v>2593</v>
      </c>
      <c r="F83" s="4572" t="s">
        <v>2316</v>
      </c>
      <c r="G83" s="4572" t="s">
        <v>24</v>
      </c>
      <c r="H83" s="4572" t="s">
        <v>24</v>
      </c>
      <c r="I83" s="4572" t="s">
        <v>857</v>
      </c>
    </row>
    <row r="84" spans="1:9" ht="11.25" customHeight="1">
      <c r="A84" s="4572" t="s">
        <v>2309</v>
      </c>
      <c r="B84" s="4572" t="s">
        <v>14</v>
      </c>
      <c r="C84" s="4572" t="s">
        <v>2594</v>
      </c>
      <c r="D84" s="4572" t="s">
        <v>2595</v>
      </c>
      <c r="E84" s="4572" t="s">
        <v>2596</v>
      </c>
      <c r="F84" s="4572" t="s">
        <v>2403</v>
      </c>
      <c r="G84" s="4572" t="s">
        <v>2597</v>
      </c>
      <c r="H84" s="4572" t="s">
        <v>24</v>
      </c>
      <c r="I84" s="4572" t="s">
        <v>857</v>
      </c>
    </row>
    <row r="85" spans="1:9" ht="11.25" customHeight="1">
      <c r="A85" s="4572" t="s">
        <v>2309</v>
      </c>
      <c r="B85" s="4572" t="s">
        <v>14</v>
      </c>
      <c r="C85" s="4572" t="s">
        <v>2598</v>
      </c>
      <c r="D85" s="4572" t="s">
        <v>2599</v>
      </c>
      <c r="E85" s="4572" t="s">
        <v>2600</v>
      </c>
      <c r="F85" s="4572" t="s">
        <v>2375</v>
      </c>
      <c r="G85" s="4572" t="s">
        <v>24</v>
      </c>
      <c r="H85" s="4572" t="s">
        <v>24</v>
      </c>
      <c r="I85" s="4572" t="s">
        <v>857</v>
      </c>
    </row>
    <row r="86" spans="1:9" ht="11.25" customHeight="1">
      <c r="A86" s="4572" t="s">
        <v>2309</v>
      </c>
      <c r="B86" s="4572" t="s">
        <v>14</v>
      </c>
      <c r="C86" s="4572" t="s">
        <v>2601</v>
      </c>
      <c r="D86" s="4572" t="s">
        <v>2602</v>
      </c>
      <c r="E86" s="4572" t="s">
        <v>2603</v>
      </c>
      <c r="F86" s="4572" t="s">
        <v>2604</v>
      </c>
      <c r="G86" s="4572" t="s">
        <v>24</v>
      </c>
      <c r="H86" s="4572" t="s">
        <v>24</v>
      </c>
      <c r="I86" s="4572" t="s">
        <v>857</v>
      </c>
    </row>
    <row r="87" spans="1:9" ht="11.25" customHeight="1">
      <c r="A87" s="4572" t="s">
        <v>2309</v>
      </c>
      <c r="B87" s="4572" t="s">
        <v>14</v>
      </c>
      <c r="C87" s="4572" t="s">
        <v>2605</v>
      </c>
      <c r="D87" s="4572" t="s">
        <v>2606</v>
      </c>
      <c r="E87" s="4572" t="s">
        <v>2607</v>
      </c>
      <c r="F87" s="4572" t="s">
        <v>2399</v>
      </c>
      <c r="G87" s="4572" t="s">
        <v>24</v>
      </c>
      <c r="H87" s="4572" t="s">
        <v>24</v>
      </c>
      <c r="I87" s="4572" t="s">
        <v>857</v>
      </c>
    </row>
    <row r="88" spans="1:9" ht="11.25" customHeight="1">
      <c r="A88" s="4572" t="s">
        <v>2309</v>
      </c>
      <c r="B88" s="4572" t="s">
        <v>14</v>
      </c>
      <c r="C88" s="4572" t="s">
        <v>2608</v>
      </c>
      <c r="D88" s="4572" t="s">
        <v>2609</v>
      </c>
      <c r="E88" s="4572" t="s">
        <v>2610</v>
      </c>
      <c r="F88" s="4572" t="s">
        <v>2420</v>
      </c>
      <c r="G88" s="4572" t="s">
        <v>24</v>
      </c>
      <c r="H88" s="4572" t="s">
        <v>24</v>
      </c>
      <c r="I88" s="4572" t="s">
        <v>857</v>
      </c>
    </row>
    <row r="89" spans="1:9" ht="11.25" customHeight="1">
      <c r="A89" s="4572" t="s">
        <v>2309</v>
      </c>
      <c r="B89" s="4572" t="s">
        <v>14</v>
      </c>
      <c r="C89" s="4572" t="s">
        <v>2611</v>
      </c>
      <c r="D89" s="4572" t="s">
        <v>2612</v>
      </c>
      <c r="E89" s="4572" t="s">
        <v>2613</v>
      </c>
      <c r="F89" s="4572" t="s">
        <v>2316</v>
      </c>
      <c r="G89" s="4572" t="s">
        <v>24</v>
      </c>
      <c r="H89" s="4572" t="s">
        <v>24</v>
      </c>
      <c r="I89" s="4572" t="s">
        <v>857</v>
      </c>
    </row>
    <row r="90" spans="1:9" ht="11.25" customHeight="1">
      <c r="A90" s="4572" t="s">
        <v>2309</v>
      </c>
      <c r="B90" s="4572" t="s">
        <v>14</v>
      </c>
      <c r="C90" s="4572" t="s">
        <v>2614</v>
      </c>
      <c r="D90" s="4572" t="s">
        <v>2615</v>
      </c>
      <c r="E90" s="4572" t="s">
        <v>2616</v>
      </c>
      <c r="F90" s="4572" t="s">
        <v>2332</v>
      </c>
      <c r="G90" s="4572" t="s">
        <v>24</v>
      </c>
      <c r="H90" s="4572" t="s">
        <v>24</v>
      </c>
      <c r="I90" s="4572" t="s">
        <v>857</v>
      </c>
    </row>
    <row r="91" spans="1:9" ht="11.25" customHeight="1">
      <c r="A91" s="4572" t="s">
        <v>2309</v>
      </c>
      <c r="B91" s="4572" t="s">
        <v>14</v>
      </c>
      <c r="C91" s="4572" t="s">
        <v>2617</v>
      </c>
      <c r="D91" s="4572" t="s">
        <v>2618</v>
      </c>
      <c r="E91" s="4572" t="s">
        <v>2619</v>
      </c>
      <c r="F91" s="4572" t="s">
        <v>2336</v>
      </c>
      <c r="G91" s="4572" t="s">
        <v>24</v>
      </c>
      <c r="H91" s="4572" t="s">
        <v>24</v>
      </c>
      <c r="I91" s="4572" t="s">
        <v>857</v>
      </c>
    </row>
    <row r="92" spans="1:9" ht="11.25" customHeight="1">
      <c r="A92" s="4572" t="s">
        <v>2309</v>
      </c>
      <c r="B92" s="4572" t="s">
        <v>14</v>
      </c>
      <c r="C92" s="4572" t="s">
        <v>2620</v>
      </c>
      <c r="D92" s="4572" t="s">
        <v>2621</v>
      </c>
      <c r="E92" s="4572" t="s">
        <v>2622</v>
      </c>
      <c r="F92" s="4572" t="s">
        <v>2316</v>
      </c>
      <c r="G92" s="4572" t="s">
        <v>24</v>
      </c>
      <c r="H92" s="4572" t="s">
        <v>24</v>
      </c>
      <c r="I92" s="4572" t="s">
        <v>857</v>
      </c>
    </row>
    <row r="93" spans="1:9" ht="11.25" customHeight="1">
      <c r="A93" s="4572" t="s">
        <v>2309</v>
      </c>
      <c r="B93" s="4572" t="s">
        <v>14</v>
      </c>
      <c r="C93" s="4572" t="s">
        <v>2623</v>
      </c>
      <c r="D93" s="4572" t="s">
        <v>2624</v>
      </c>
      <c r="E93" s="4572" t="s">
        <v>2625</v>
      </c>
      <c r="F93" s="4572" t="s">
        <v>2626</v>
      </c>
      <c r="G93" s="4572" t="s">
        <v>24</v>
      </c>
      <c r="H93" s="4572" t="s">
        <v>24</v>
      </c>
      <c r="I93" s="4572" t="s">
        <v>857</v>
      </c>
    </row>
    <row r="94" spans="1:9" ht="11.25" customHeight="1">
      <c r="A94" s="4572" t="s">
        <v>2309</v>
      </c>
      <c r="B94" s="4572" t="s">
        <v>14</v>
      </c>
      <c r="C94" s="4572" t="s">
        <v>2627</v>
      </c>
      <c r="D94" s="4572" t="s">
        <v>2628</v>
      </c>
      <c r="E94" s="4572" t="s">
        <v>2629</v>
      </c>
      <c r="F94" s="4572" t="s">
        <v>2375</v>
      </c>
      <c r="G94" s="4572" t="s">
        <v>2630</v>
      </c>
      <c r="H94" s="4572" t="s">
        <v>24</v>
      </c>
      <c r="I94" s="4572" t="s">
        <v>857</v>
      </c>
    </row>
    <row r="95" spans="1:9" ht="11.25" customHeight="1">
      <c r="A95" s="4572" t="s">
        <v>2309</v>
      </c>
      <c r="B95" s="4572" t="s">
        <v>14</v>
      </c>
      <c r="C95" s="4572" t="s">
        <v>2631</v>
      </c>
      <c r="D95" s="4572" t="s">
        <v>2632</v>
      </c>
      <c r="E95" s="4572" t="s">
        <v>2633</v>
      </c>
      <c r="F95" s="4572" t="s">
        <v>2634</v>
      </c>
      <c r="G95" s="4572" t="s">
        <v>24</v>
      </c>
      <c r="H95" s="4572" t="s">
        <v>24</v>
      </c>
      <c r="I95" s="4572" t="s">
        <v>857</v>
      </c>
    </row>
    <row r="96" spans="1:9" ht="11.25" customHeight="1">
      <c r="A96" s="4572" t="s">
        <v>2309</v>
      </c>
      <c r="B96" s="4572" t="s">
        <v>14</v>
      </c>
      <c r="C96" s="4572" t="s">
        <v>2635</v>
      </c>
      <c r="D96" s="4572" t="s">
        <v>2636</v>
      </c>
      <c r="E96" s="4572" t="s">
        <v>2625</v>
      </c>
      <c r="F96" s="4572" t="s">
        <v>2637</v>
      </c>
      <c r="G96" s="4572" t="s">
        <v>24</v>
      </c>
      <c r="H96" s="4572" t="s">
        <v>24</v>
      </c>
      <c r="I96" s="4572" t="s">
        <v>857</v>
      </c>
    </row>
    <row r="97" spans="1:9" ht="11.25" customHeight="1">
      <c r="A97" s="4572" t="s">
        <v>2309</v>
      </c>
      <c r="B97" s="4572" t="s">
        <v>14</v>
      </c>
      <c r="C97" s="4572" t="s">
        <v>24</v>
      </c>
      <c r="D97" s="4572" t="s">
        <v>2314</v>
      </c>
      <c r="E97" s="4572" t="s">
        <v>2315</v>
      </c>
      <c r="F97" s="4572" t="s">
        <v>2316</v>
      </c>
      <c r="G97" s="4572" t="s">
        <v>24</v>
      </c>
      <c r="H97" s="4572" t="s">
        <v>24</v>
      </c>
      <c r="I97" s="4572" t="s">
        <v>941</v>
      </c>
    </row>
    <row r="98" spans="1:9" ht="11.25" customHeight="1">
      <c r="A98" s="4572" t="s">
        <v>2309</v>
      </c>
      <c r="B98" s="4572" t="s">
        <v>14</v>
      </c>
      <c r="C98" s="4572" t="s">
        <v>2325</v>
      </c>
      <c r="D98" s="4572" t="s">
        <v>2326</v>
      </c>
      <c r="E98" s="4572" t="s">
        <v>2327</v>
      </c>
      <c r="F98" s="4572" t="s">
        <v>2328</v>
      </c>
      <c r="G98" s="4572" t="s">
        <v>24</v>
      </c>
      <c r="H98" s="4572" t="s">
        <v>24</v>
      </c>
      <c r="I98" s="4572" t="s">
        <v>941</v>
      </c>
    </row>
    <row r="99" spans="1:9" ht="11.25" customHeight="1">
      <c r="A99" s="4572" t="s">
        <v>2309</v>
      </c>
      <c r="B99" s="4572" t="s">
        <v>14</v>
      </c>
      <c r="C99" s="4572" t="s">
        <v>2337</v>
      </c>
      <c r="D99" s="4572" t="s">
        <v>2338</v>
      </c>
      <c r="E99" s="4572" t="s">
        <v>2339</v>
      </c>
      <c r="F99" s="4572" t="s">
        <v>2336</v>
      </c>
      <c r="G99" s="4572" t="s">
        <v>24</v>
      </c>
      <c r="H99" s="4572" t="s">
        <v>24</v>
      </c>
      <c r="I99" s="4572" t="s">
        <v>941</v>
      </c>
    </row>
    <row r="100" spans="1:9" ht="11.25" customHeight="1">
      <c r="A100" s="4572" t="s">
        <v>2309</v>
      </c>
      <c r="B100" s="4572" t="s">
        <v>14</v>
      </c>
      <c r="C100" s="4572" t="s">
        <v>2348</v>
      </c>
      <c r="D100" s="4572" t="s">
        <v>2349</v>
      </c>
      <c r="E100" s="4572" t="s">
        <v>2350</v>
      </c>
      <c r="F100" s="4572" t="s">
        <v>2316</v>
      </c>
      <c r="G100" s="4572" t="s">
        <v>24</v>
      </c>
      <c r="H100" s="4572" t="s">
        <v>24</v>
      </c>
      <c r="I100" s="4572" t="s">
        <v>941</v>
      </c>
    </row>
    <row r="101" spans="1:9" ht="11.25" customHeight="1">
      <c r="A101" s="4572" t="s">
        <v>2309</v>
      </c>
      <c r="B101" s="4572" t="s">
        <v>14</v>
      </c>
      <c r="C101" s="4572" t="s">
        <v>2351</v>
      </c>
      <c r="D101" s="4572" t="s">
        <v>2352</v>
      </c>
      <c r="E101" s="4572" t="s">
        <v>2353</v>
      </c>
      <c r="F101" s="4572" t="s">
        <v>2332</v>
      </c>
      <c r="G101" s="4572" t="s">
        <v>24</v>
      </c>
      <c r="H101" s="4572" t="s">
        <v>24</v>
      </c>
      <c r="I101" s="4572" t="s">
        <v>941</v>
      </c>
    </row>
    <row r="102" spans="1:9" ht="11.25" customHeight="1">
      <c r="A102" s="4572" t="s">
        <v>2309</v>
      </c>
      <c r="B102" s="4572" t="s">
        <v>14</v>
      </c>
      <c r="C102" s="4572" t="s">
        <v>2358</v>
      </c>
      <c r="D102" s="4572" t="s">
        <v>2359</v>
      </c>
      <c r="E102" s="4572" t="s">
        <v>2360</v>
      </c>
      <c r="F102" s="4572" t="s">
        <v>2361</v>
      </c>
      <c r="G102" s="4572" t="s">
        <v>24</v>
      </c>
      <c r="H102" s="4572" t="s">
        <v>24</v>
      </c>
      <c r="I102" s="4572" t="s">
        <v>941</v>
      </c>
    </row>
    <row r="103" spans="1:9" ht="11.25" customHeight="1">
      <c r="A103" s="4572" t="s">
        <v>2309</v>
      </c>
      <c r="B103" s="4572" t="s">
        <v>14</v>
      </c>
      <c r="C103" s="4572" t="s">
        <v>2365</v>
      </c>
      <c r="D103" s="4572" t="s">
        <v>2366</v>
      </c>
      <c r="E103" s="4572" t="s">
        <v>2367</v>
      </c>
      <c r="F103" s="4572" t="s">
        <v>2368</v>
      </c>
      <c r="G103" s="4572" t="s">
        <v>24</v>
      </c>
      <c r="H103" s="4572" t="s">
        <v>24</v>
      </c>
      <c r="I103" s="4572" t="s">
        <v>941</v>
      </c>
    </row>
    <row r="104" spans="1:9" ht="11.25" customHeight="1">
      <c r="A104" s="4572" t="s">
        <v>2309</v>
      </c>
      <c r="B104" s="4572" t="s">
        <v>14</v>
      </c>
      <c r="C104" s="4572" t="s">
        <v>2381</v>
      </c>
      <c r="D104" s="4572" t="s">
        <v>2382</v>
      </c>
      <c r="E104" s="4572" t="s">
        <v>2383</v>
      </c>
      <c r="F104" s="4572" t="s">
        <v>2384</v>
      </c>
      <c r="G104" s="4572" t="s">
        <v>24</v>
      </c>
      <c r="H104" s="4572" t="s">
        <v>24</v>
      </c>
      <c r="I104" s="4572" t="s">
        <v>941</v>
      </c>
    </row>
    <row r="105" spans="1:9" ht="11.25" customHeight="1">
      <c r="A105" s="4572" t="s">
        <v>2309</v>
      </c>
      <c r="B105" s="4572" t="s">
        <v>14</v>
      </c>
      <c r="C105" s="4572" t="s">
        <v>2392</v>
      </c>
      <c r="D105" s="4572" t="s">
        <v>2393</v>
      </c>
      <c r="E105" s="4572" t="s">
        <v>2394</v>
      </c>
      <c r="F105" s="4572" t="s">
        <v>2395</v>
      </c>
      <c r="G105" s="4572" t="s">
        <v>24</v>
      </c>
      <c r="H105" s="4572" t="s">
        <v>24</v>
      </c>
      <c r="I105" s="4572" t="s">
        <v>941</v>
      </c>
    </row>
    <row r="106" spans="1:9" ht="11.25" customHeight="1">
      <c r="A106" s="4572" t="s">
        <v>2309</v>
      </c>
      <c r="B106" s="4572" t="s">
        <v>14</v>
      </c>
      <c r="C106" s="4572" t="s">
        <v>2404</v>
      </c>
      <c r="D106" s="4572" t="s">
        <v>2405</v>
      </c>
      <c r="E106" s="4572" t="s">
        <v>2406</v>
      </c>
      <c r="F106" s="4572" t="s">
        <v>2395</v>
      </c>
      <c r="G106" s="4572" t="s">
        <v>24</v>
      </c>
      <c r="H106" s="4572" t="s">
        <v>24</v>
      </c>
      <c r="I106" s="4572" t="s">
        <v>941</v>
      </c>
    </row>
    <row r="107" spans="1:9" ht="11.25" customHeight="1">
      <c r="A107" s="4572" t="s">
        <v>2309</v>
      </c>
      <c r="B107" s="4572" t="s">
        <v>14</v>
      </c>
      <c r="C107" s="4572" t="s">
        <v>2410</v>
      </c>
      <c r="D107" s="4572" t="s">
        <v>2411</v>
      </c>
      <c r="E107" s="4572" t="s">
        <v>2412</v>
      </c>
      <c r="F107" s="4572" t="s">
        <v>2380</v>
      </c>
      <c r="G107" s="4572" t="s">
        <v>24</v>
      </c>
      <c r="H107" s="4572" t="s">
        <v>24</v>
      </c>
      <c r="I107" s="4572" t="s">
        <v>941</v>
      </c>
    </row>
    <row r="108" spans="1:9" ht="11.25" customHeight="1">
      <c r="A108" s="4572" t="s">
        <v>2309</v>
      </c>
      <c r="B108" s="4572" t="s">
        <v>14</v>
      </c>
      <c r="C108" s="4572" t="s">
        <v>2435</v>
      </c>
      <c r="D108" s="4572" t="s">
        <v>2436</v>
      </c>
      <c r="E108" s="4572" t="s">
        <v>2437</v>
      </c>
      <c r="F108" s="4572" t="s">
        <v>2438</v>
      </c>
      <c r="G108" s="4572" t="s">
        <v>2439</v>
      </c>
      <c r="H108" s="4572" t="s">
        <v>24</v>
      </c>
      <c r="I108" s="4572" t="s">
        <v>941</v>
      </c>
    </row>
    <row r="109" spans="1:9" ht="11.25" customHeight="1">
      <c r="A109" s="4572" t="s">
        <v>2309</v>
      </c>
      <c r="B109" s="4572" t="s">
        <v>14</v>
      </c>
      <c r="C109" s="4572" t="s">
        <v>2440</v>
      </c>
      <c r="D109" s="4572" t="s">
        <v>2441</v>
      </c>
      <c r="E109" s="4572" t="s">
        <v>2442</v>
      </c>
      <c r="F109" s="4572" t="s">
        <v>2438</v>
      </c>
      <c r="G109" s="4572" t="s">
        <v>24</v>
      </c>
      <c r="H109" s="4572" t="s">
        <v>24</v>
      </c>
      <c r="I109" s="4572" t="s">
        <v>941</v>
      </c>
    </row>
    <row r="110" spans="1:9" ht="11.25" customHeight="1">
      <c r="A110" s="4572" t="s">
        <v>2309</v>
      </c>
      <c r="B110" s="4572" t="s">
        <v>14</v>
      </c>
      <c r="C110" s="4572" t="s">
        <v>2443</v>
      </c>
      <c r="D110" s="4572" t="s">
        <v>2444</v>
      </c>
      <c r="E110" s="4572" t="s">
        <v>2445</v>
      </c>
      <c r="F110" s="4572" t="s">
        <v>2361</v>
      </c>
      <c r="G110" s="4572" t="s">
        <v>2446</v>
      </c>
      <c r="H110" s="4572" t="s">
        <v>24</v>
      </c>
      <c r="I110" s="4572" t="s">
        <v>941</v>
      </c>
    </row>
    <row r="111" spans="1:9" ht="11.25" customHeight="1">
      <c r="A111" s="4572" t="s">
        <v>2309</v>
      </c>
      <c r="B111" s="4572" t="s">
        <v>14</v>
      </c>
      <c r="C111" s="4572" t="s">
        <v>2453</v>
      </c>
      <c r="D111" s="4572" t="s">
        <v>2454</v>
      </c>
      <c r="E111" s="4572" t="s">
        <v>2455</v>
      </c>
      <c r="F111" s="4572" t="s">
        <v>2380</v>
      </c>
      <c r="G111" s="4572" t="s">
        <v>24</v>
      </c>
      <c r="H111" s="4572" t="s">
        <v>24</v>
      </c>
      <c r="I111" s="4572" t="s">
        <v>941</v>
      </c>
    </row>
    <row r="112" spans="1:9" ht="11.25" customHeight="1">
      <c r="A112" s="4572" t="s">
        <v>2309</v>
      </c>
      <c r="B112" s="4572" t="s">
        <v>14</v>
      </c>
      <c r="C112" s="4572" t="s">
        <v>2469</v>
      </c>
      <c r="D112" s="4572" t="s">
        <v>2470</v>
      </c>
      <c r="E112" s="4572" t="s">
        <v>2471</v>
      </c>
      <c r="F112" s="4572" t="s">
        <v>2420</v>
      </c>
      <c r="G112" s="4572" t="s">
        <v>24</v>
      </c>
      <c r="H112" s="4572" t="s">
        <v>24</v>
      </c>
      <c r="I112" s="4572" t="s">
        <v>941</v>
      </c>
    </row>
    <row r="113" spans="1:9" ht="11.25" customHeight="1">
      <c r="A113" s="4572" t="s">
        <v>2309</v>
      </c>
      <c r="B113" s="4572" t="s">
        <v>14</v>
      </c>
      <c r="C113" s="4572" t="s">
        <v>2475</v>
      </c>
      <c r="D113" s="4572" t="s">
        <v>2476</v>
      </c>
      <c r="E113" s="4572" t="s">
        <v>2477</v>
      </c>
      <c r="F113" s="4572" t="s">
        <v>2332</v>
      </c>
      <c r="G113" s="4572" t="s">
        <v>24</v>
      </c>
      <c r="H113" s="4572" t="s">
        <v>24</v>
      </c>
      <c r="I113" s="4572" t="s">
        <v>941</v>
      </c>
    </row>
    <row r="114" spans="1:9" ht="11.25" customHeight="1">
      <c r="A114" s="4572" t="s">
        <v>2309</v>
      </c>
      <c r="B114" s="4572" t="s">
        <v>14</v>
      </c>
      <c r="C114" s="4572" t="s">
        <v>2492</v>
      </c>
      <c r="D114" s="4572" t="s">
        <v>2493</v>
      </c>
      <c r="E114" s="4572" t="s">
        <v>2494</v>
      </c>
      <c r="F114" s="4572" t="s">
        <v>2316</v>
      </c>
      <c r="G114" s="4572" t="s">
        <v>2495</v>
      </c>
      <c r="H114" s="4572" t="s">
        <v>24</v>
      </c>
      <c r="I114" s="4572" t="s">
        <v>941</v>
      </c>
    </row>
    <row r="115" spans="1:9" ht="11.25" customHeight="1">
      <c r="A115" s="4572" t="s">
        <v>2309</v>
      </c>
      <c r="B115" s="4572" t="s">
        <v>14</v>
      </c>
      <c r="C115" s="4572" t="s">
        <v>2496</v>
      </c>
      <c r="D115" s="4572" t="s">
        <v>2497</v>
      </c>
      <c r="E115" s="4572" t="s">
        <v>2498</v>
      </c>
      <c r="F115" s="4572" t="s">
        <v>2438</v>
      </c>
      <c r="G115" s="4572" t="s">
        <v>24</v>
      </c>
      <c r="H115" s="4572" t="s">
        <v>24</v>
      </c>
      <c r="I115" s="4572" t="s">
        <v>941</v>
      </c>
    </row>
    <row r="116" spans="1:9" ht="11.25" customHeight="1">
      <c r="A116" s="4572" t="s">
        <v>2309</v>
      </c>
      <c r="B116" s="4572" t="s">
        <v>14</v>
      </c>
      <c r="C116" s="4572" t="s">
        <v>2499</v>
      </c>
      <c r="D116" s="4572" t="s">
        <v>2500</v>
      </c>
      <c r="E116" s="4572" t="s">
        <v>2501</v>
      </c>
      <c r="F116" s="4572" t="s">
        <v>2361</v>
      </c>
      <c r="G116" s="4572" t="s">
        <v>24</v>
      </c>
      <c r="H116" s="4572" t="s">
        <v>24</v>
      </c>
      <c r="I116" s="4572" t="s">
        <v>941</v>
      </c>
    </row>
    <row r="117" spans="1:9" ht="11.25" customHeight="1">
      <c r="A117" s="4572" t="s">
        <v>2309</v>
      </c>
      <c r="B117" s="4572" t="s">
        <v>14</v>
      </c>
      <c r="C117" s="4572" t="s">
        <v>2509</v>
      </c>
      <c r="D117" s="4572" t="s">
        <v>2510</v>
      </c>
      <c r="E117" s="4572" t="s">
        <v>2511</v>
      </c>
      <c r="F117" s="4572" t="s">
        <v>2438</v>
      </c>
      <c r="G117" s="4572" t="s">
        <v>24</v>
      </c>
      <c r="H117" s="4572" t="s">
        <v>24</v>
      </c>
      <c r="I117" s="4572" t="s">
        <v>941</v>
      </c>
    </row>
    <row r="118" spans="1:9" ht="11.25" customHeight="1">
      <c r="A118" s="4572" t="s">
        <v>2309</v>
      </c>
      <c r="B118" s="4572" t="s">
        <v>14</v>
      </c>
      <c r="C118" s="4572" t="s">
        <v>2512</v>
      </c>
      <c r="D118" s="4572" t="s">
        <v>2513</v>
      </c>
      <c r="E118" s="4572" t="s">
        <v>2514</v>
      </c>
      <c r="F118" s="4572" t="s">
        <v>2438</v>
      </c>
      <c r="G118" s="4572" t="s">
        <v>24</v>
      </c>
      <c r="H118" s="4572" t="s">
        <v>24</v>
      </c>
      <c r="I118" s="4572" t="s">
        <v>941</v>
      </c>
    </row>
    <row r="119" spans="1:9" ht="11.25" customHeight="1">
      <c r="A119" s="4572" t="s">
        <v>2309</v>
      </c>
      <c r="B119" s="4572" t="s">
        <v>14</v>
      </c>
      <c r="C119" s="4572" t="s">
        <v>2515</v>
      </c>
      <c r="D119" s="4572" t="s">
        <v>2516</v>
      </c>
      <c r="E119" s="4572" t="s">
        <v>2517</v>
      </c>
      <c r="F119" s="4572" t="s">
        <v>2399</v>
      </c>
      <c r="G119" s="4572" t="s">
        <v>24</v>
      </c>
      <c r="H119" s="4572" t="s">
        <v>24</v>
      </c>
      <c r="I119" s="4572" t="s">
        <v>941</v>
      </c>
    </row>
    <row r="120" spans="1:9" ht="11.25" customHeight="1">
      <c r="A120" s="4572" t="s">
        <v>2309</v>
      </c>
      <c r="B120" s="4572" t="s">
        <v>14</v>
      </c>
      <c r="C120" s="4572" t="s">
        <v>2518</v>
      </c>
      <c r="D120" s="4572" t="s">
        <v>2519</v>
      </c>
      <c r="E120" s="4572" t="s">
        <v>2520</v>
      </c>
      <c r="F120" s="4572" t="s">
        <v>2521</v>
      </c>
      <c r="G120" s="4572" t="s">
        <v>2522</v>
      </c>
      <c r="H120" s="4572" t="s">
        <v>24</v>
      </c>
      <c r="I120" s="4572" t="s">
        <v>941</v>
      </c>
    </row>
    <row r="121" spans="1:9" ht="11.25" customHeight="1">
      <c r="A121" s="4572" t="s">
        <v>2309</v>
      </c>
      <c r="B121" s="4572" t="s">
        <v>14</v>
      </c>
      <c r="C121" s="4572" t="s">
        <v>2544</v>
      </c>
      <c r="D121" s="4572" t="s">
        <v>2541</v>
      </c>
      <c r="E121" s="4572" t="s">
        <v>2545</v>
      </c>
      <c r="F121" s="4572" t="s">
        <v>50</v>
      </c>
      <c r="G121" s="4572" t="s">
        <v>24</v>
      </c>
      <c r="H121" s="4572" t="s">
        <v>24</v>
      </c>
      <c r="I121" s="4572" t="s">
        <v>941</v>
      </c>
    </row>
    <row r="122" spans="1:9" ht="11.25" customHeight="1">
      <c r="A122" s="4572" t="s">
        <v>2309</v>
      </c>
      <c r="B122" s="4572" t="s">
        <v>14</v>
      </c>
      <c r="C122" s="4572" t="s">
        <v>2546</v>
      </c>
      <c r="D122" s="4572" t="s">
        <v>2547</v>
      </c>
      <c r="E122" s="4572" t="s">
        <v>2548</v>
      </c>
      <c r="F122" s="4572" t="s">
        <v>2549</v>
      </c>
      <c r="G122" s="4572" t="s">
        <v>24</v>
      </c>
      <c r="H122" s="4572" t="s">
        <v>2550</v>
      </c>
      <c r="I122" s="4572" t="s">
        <v>941</v>
      </c>
    </row>
    <row r="123" spans="1:9" ht="11.25" customHeight="1">
      <c r="A123" s="4572" t="s">
        <v>2309</v>
      </c>
      <c r="B123" s="4572" t="s">
        <v>14</v>
      </c>
      <c r="C123" s="4572" t="s">
        <v>2554</v>
      </c>
      <c r="D123" s="4572" t="s">
        <v>2555</v>
      </c>
      <c r="E123" s="4572" t="s">
        <v>2556</v>
      </c>
      <c r="F123" s="4572" t="s">
        <v>2324</v>
      </c>
      <c r="G123" s="4572" t="s">
        <v>24</v>
      </c>
      <c r="H123" s="4572" t="s">
        <v>24</v>
      </c>
      <c r="I123" s="4572" t="s">
        <v>941</v>
      </c>
    </row>
    <row r="124" spans="1:9" ht="11.25" customHeight="1">
      <c r="A124" s="4572" t="s">
        <v>2309</v>
      </c>
      <c r="B124" s="4572" t="s">
        <v>14</v>
      </c>
      <c r="C124" s="4572" t="s">
        <v>2557</v>
      </c>
      <c r="D124" s="4572" t="s">
        <v>2558</v>
      </c>
      <c r="E124" s="4572" t="s">
        <v>2559</v>
      </c>
      <c r="F124" s="4572" t="s">
        <v>2399</v>
      </c>
      <c r="G124" s="4572" t="s">
        <v>24</v>
      </c>
      <c r="H124" s="4572" t="s">
        <v>24</v>
      </c>
      <c r="I124" s="4572" t="s">
        <v>941</v>
      </c>
    </row>
    <row r="125" spans="1:9" ht="11.25" customHeight="1">
      <c r="A125" s="4572" t="s">
        <v>2309</v>
      </c>
      <c r="B125" s="4572" t="s">
        <v>14</v>
      </c>
      <c r="C125" s="4572" t="s">
        <v>2560</v>
      </c>
      <c r="D125" s="4572" t="s">
        <v>2561</v>
      </c>
      <c r="E125" s="4572" t="s">
        <v>2562</v>
      </c>
      <c r="F125" s="4572" t="s">
        <v>2438</v>
      </c>
      <c r="G125" s="4572" t="s">
        <v>24</v>
      </c>
      <c r="H125" s="4572" t="s">
        <v>24</v>
      </c>
      <c r="I125" s="4572" t="s">
        <v>941</v>
      </c>
    </row>
    <row r="126" spans="1:9" ht="11.25" customHeight="1">
      <c r="A126" s="4572" t="s">
        <v>2309</v>
      </c>
      <c r="B126" s="4572" t="s">
        <v>14</v>
      </c>
      <c r="C126" s="4572" t="s">
        <v>2563</v>
      </c>
      <c r="D126" s="4572" t="s">
        <v>2564</v>
      </c>
      <c r="E126" s="4572" t="s">
        <v>2565</v>
      </c>
      <c r="F126" s="4572" t="s">
        <v>2361</v>
      </c>
      <c r="G126" s="4572" t="s">
        <v>24</v>
      </c>
      <c r="H126" s="4572" t="s">
        <v>24</v>
      </c>
      <c r="I126" s="4572" t="s">
        <v>941</v>
      </c>
    </row>
    <row r="127" spans="1:9" ht="11.25" customHeight="1">
      <c r="A127" s="4572" t="s">
        <v>2309</v>
      </c>
      <c r="B127" s="4572" t="s">
        <v>14</v>
      </c>
      <c r="C127" s="4572" t="s">
        <v>2566</v>
      </c>
      <c r="D127" s="4572" t="s">
        <v>2567</v>
      </c>
      <c r="E127" s="4572" t="s">
        <v>2568</v>
      </c>
      <c r="F127" s="4572" t="s">
        <v>2316</v>
      </c>
      <c r="G127" s="4572" t="s">
        <v>24</v>
      </c>
      <c r="H127" s="4572" t="s">
        <v>24</v>
      </c>
      <c r="I127" s="4572" t="s">
        <v>941</v>
      </c>
    </row>
    <row r="128" spans="1:9" ht="11.25" customHeight="1">
      <c r="A128" s="4572" t="s">
        <v>2309</v>
      </c>
      <c r="B128" s="4572" t="s">
        <v>14</v>
      </c>
      <c r="C128" s="4572" t="s">
        <v>2575</v>
      </c>
      <c r="D128" s="4572" t="s">
        <v>2576</v>
      </c>
      <c r="E128" s="4572" t="s">
        <v>2577</v>
      </c>
      <c r="F128" s="4572" t="s">
        <v>2549</v>
      </c>
      <c r="G128" s="4572" t="s">
        <v>24</v>
      </c>
      <c r="H128" s="4572" t="s">
        <v>24</v>
      </c>
      <c r="I128" s="4572" t="s">
        <v>941</v>
      </c>
    </row>
    <row r="129" spans="1:9" ht="11.25" customHeight="1">
      <c r="A129" s="4572" t="s">
        <v>2309</v>
      </c>
      <c r="B129" s="4572" t="s">
        <v>14</v>
      </c>
      <c r="C129" s="4572" t="s">
        <v>2578</v>
      </c>
      <c r="D129" s="4572" t="s">
        <v>2579</v>
      </c>
      <c r="E129" s="4572" t="s">
        <v>2580</v>
      </c>
      <c r="F129" s="4572" t="s">
        <v>2549</v>
      </c>
      <c r="G129" s="4572" t="s">
        <v>24</v>
      </c>
      <c r="H129" s="4572" t="s">
        <v>24</v>
      </c>
      <c r="I129" s="4572" t="s">
        <v>941</v>
      </c>
    </row>
    <row r="130" spans="1:9" ht="11.25" customHeight="1">
      <c r="A130" s="4572" t="s">
        <v>2309</v>
      </c>
      <c r="B130" s="4572" t="s">
        <v>14</v>
      </c>
      <c r="C130" s="4572" t="s">
        <v>2584</v>
      </c>
      <c r="D130" s="4572" t="s">
        <v>2585</v>
      </c>
      <c r="E130" s="4572" t="s">
        <v>2586</v>
      </c>
      <c r="F130" s="4572" t="s">
        <v>2438</v>
      </c>
      <c r="G130" s="4572" t="s">
        <v>24</v>
      </c>
      <c r="H130" s="4572" t="s">
        <v>24</v>
      </c>
      <c r="I130" s="4572" t="s">
        <v>941</v>
      </c>
    </row>
    <row r="131" spans="1:9" ht="11.25" customHeight="1">
      <c r="A131" s="4572" t="s">
        <v>2309</v>
      </c>
      <c r="B131" s="4572" t="s">
        <v>14</v>
      </c>
      <c r="C131" s="4572" t="s">
        <v>2587</v>
      </c>
      <c r="D131" s="4572" t="s">
        <v>2588</v>
      </c>
      <c r="E131" s="4572" t="s">
        <v>2589</v>
      </c>
      <c r="F131" s="4572" t="s">
        <v>2375</v>
      </c>
      <c r="G131" s="4572" t="s">
        <v>2590</v>
      </c>
      <c r="H131" s="4572" t="s">
        <v>24</v>
      </c>
      <c r="I131" s="4572" t="s">
        <v>941</v>
      </c>
    </row>
    <row r="132" spans="1:9" ht="11.25" customHeight="1">
      <c r="A132" s="4572" t="s">
        <v>2309</v>
      </c>
      <c r="B132" s="4572" t="s">
        <v>14</v>
      </c>
      <c r="C132" s="4572" t="s">
        <v>2605</v>
      </c>
      <c r="D132" s="4572" t="s">
        <v>2606</v>
      </c>
      <c r="E132" s="4572" t="s">
        <v>2607</v>
      </c>
      <c r="F132" s="4572" t="s">
        <v>2399</v>
      </c>
      <c r="G132" s="4572" t="s">
        <v>24</v>
      </c>
      <c r="H132" s="4572" t="s">
        <v>24</v>
      </c>
      <c r="I132" s="4572" t="s">
        <v>941</v>
      </c>
    </row>
    <row r="133" spans="1:9" ht="11.25" customHeight="1">
      <c r="A133" s="4572" t="s">
        <v>2309</v>
      </c>
      <c r="B133" s="4572" t="s">
        <v>14</v>
      </c>
      <c r="C133" s="4572" t="s">
        <v>2611</v>
      </c>
      <c r="D133" s="4572" t="s">
        <v>2612</v>
      </c>
      <c r="E133" s="4572" t="s">
        <v>2613</v>
      </c>
      <c r="F133" s="4572" t="s">
        <v>2316</v>
      </c>
      <c r="G133" s="4572" t="s">
        <v>24</v>
      </c>
      <c r="H133" s="4572" t="s">
        <v>24</v>
      </c>
      <c r="I133" s="4572" t="s">
        <v>941</v>
      </c>
    </row>
    <row r="134" spans="1:9" ht="11.25" customHeight="1">
      <c r="A134" s="4572" t="s">
        <v>2309</v>
      </c>
      <c r="B134" s="4572" t="s">
        <v>14</v>
      </c>
      <c r="C134" s="4572" t="s">
        <v>2614</v>
      </c>
      <c r="D134" s="4572" t="s">
        <v>2615</v>
      </c>
      <c r="E134" s="4572" t="s">
        <v>2616</v>
      </c>
      <c r="F134" s="4572" t="s">
        <v>2332</v>
      </c>
      <c r="G134" s="4572" t="s">
        <v>24</v>
      </c>
      <c r="H134" s="4572" t="s">
        <v>24</v>
      </c>
      <c r="I134" s="4572" t="s">
        <v>941</v>
      </c>
    </row>
    <row r="135" spans="1:9" ht="11.25" customHeight="1">
      <c r="A135" s="4572" t="s">
        <v>2309</v>
      </c>
      <c r="B135" s="4572" t="s">
        <v>14</v>
      </c>
      <c r="C135" s="4572" t="s">
        <v>2617</v>
      </c>
      <c r="D135" s="4572" t="s">
        <v>2618</v>
      </c>
      <c r="E135" s="4572" t="s">
        <v>2619</v>
      </c>
      <c r="F135" s="4572" t="s">
        <v>2336</v>
      </c>
      <c r="G135" s="4572" t="s">
        <v>24</v>
      </c>
      <c r="H135" s="4572" t="s">
        <v>24</v>
      </c>
      <c r="I135" s="4572" t="s">
        <v>941</v>
      </c>
    </row>
    <row r="136" spans="1:9" ht="11.25" customHeight="1">
      <c r="A136" s="4572" t="s">
        <v>2309</v>
      </c>
      <c r="B136" s="4572" t="s">
        <v>14</v>
      </c>
      <c r="C136" s="4572" t="s">
        <v>2620</v>
      </c>
      <c r="D136" s="4572" t="s">
        <v>2621</v>
      </c>
      <c r="E136" s="4572" t="s">
        <v>2622</v>
      </c>
      <c r="F136" s="4572" t="s">
        <v>2316</v>
      </c>
      <c r="G136" s="4572" t="s">
        <v>24</v>
      </c>
      <c r="H136" s="4572" t="s">
        <v>24</v>
      </c>
      <c r="I136" s="4572" t="s">
        <v>941</v>
      </c>
    </row>
    <row r="137" spans="1:9" ht="11.25" customHeight="1">
      <c r="A137" s="4572" t="s">
        <v>2309</v>
      </c>
      <c r="B137" s="4572" t="s">
        <v>14</v>
      </c>
      <c r="C137" s="4572" t="s">
        <v>2631</v>
      </c>
      <c r="D137" s="4572" t="s">
        <v>2632</v>
      </c>
      <c r="E137" s="4572" t="s">
        <v>2633</v>
      </c>
      <c r="F137" s="4572" t="s">
        <v>2634</v>
      </c>
      <c r="G137" s="4572" t="s">
        <v>24</v>
      </c>
      <c r="H137" s="4572" t="s">
        <v>24</v>
      </c>
      <c r="I137" s="4572" t="s">
        <v>941</v>
      </c>
    </row>
    <row r="138" spans="1:9" ht="11.25" customHeight="1">
      <c r="A138" s="4572" t="s">
        <v>2309</v>
      </c>
      <c r="B138" s="4572" t="s">
        <v>14</v>
      </c>
      <c r="C138" s="4572" t="s">
        <v>2635</v>
      </c>
      <c r="D138" s="4572" t="s">
        <v>2636</v>
      </c>
      <c r="E138" s="4572" t="s">
        <v>2625</v>
      </c>
      <c r="F138" s="4572" t="s">
        <v>2637</v>
      </c>
      <c r="G138" s="4572" t="s">
        <v>24</v>
      </c>
      <c r="H138" s="4572" t="s">
        <v>24</v>
      </c>
      <c r="I138" s="4572" t="s">
        <v>941</v>
      </c>
    </row>
    <row r="139" spans="1:9" ht="11.25" customHeight="1">
      <c r="A139" s="4572" t="s">
        <v>2309</v>
      </c>
      <c r="B139" s="4572" t="s">
        <v>14</v>
      </c>
      <c r="C139" s="4572" t="s">
        <v>2310</v>
      </c>
      <c r="D139" s="4572" t="s">
        <v>2311</v>
      </c>
      <c r="E139" s="4572" t="s">
        <v>2312</v>
      </c>
      <c r="F139" s="4572" t="s">
        <v>2313</v>
      </c>
      <c r="G139" s="4572" t="s">
        <v>24</v>
      </c>
      <c r="H139" s="4572" t="s">
        <v>24</v>
      </c>
      <c r="I139" s="4572" t="s">
        <v>903</v>
      </c>
    </row>
    <row r="140" spans="1:9" ht="11.25" customHeight="1">
      <c r="A140" s="4572" t="s">
        <v>2309</v>
      </c>
      <c r="B140" s="4572" t="s">
        <v>14</v>
      </c>
      <c r="C140" s="4572" t="s">
        <v>2638</v>
      </c>
      <c r="D140" s="4572" t="s">
        <v>2639</v>
      </c>
      <c r="E140" s="4572" t="s">
        <v>2640</v>
      </c>
      <c r="F140" s="4572" t="s">
        <v>2420</v>
      </c>
      <c r="G140" s="4572" t="s">
        <v>2641</v>
      </c>
      <c r="H140" s="4572" t="s">
        <v>24</v>
      </c>
      <c r="I140" s="4572" t="s">
        <v>903</v>
      </c>
    </row>
    <row r="141" spans="1:9" ht="11.25" customHeight="1">
      <c r="A141" s="4572" t="s">
        <v>2309</v>
      </c>
      <c r="B141" s="4572" t="s">
        <v>14</v>
      </c>
      <c r="C141" s="4572" t="s">
        <v>24</v>
      </c>
      <c r="D141" s="4572" t="s">
        <v>2314</v>
      </c>
      <c r="E141" s="4572" t="s">
        <v>2315</v>
      </c>
      <c r="F141" s="4572" t="s">
        <v>2316</v>
      </c>
      <c r="G141" s="4572" t="s">
        <v>24</v>
      </c>
      <c r="H141" s="4572" t="s">
        <v>24</v>
      </c>
      <c r="I141" s="4572" t="s">
        <v>903</v>
      </c>
    </row>
    <row r="142" spans="1:9" ht="11.25" customHeight="1">
      <c r="A142" s="4572" t="s">
        <v>2309</v>
      </c>
      <c r="B142" s="4572" t="s">
        <v>14</v>
      </c>
      <c r="C142" s="4572" t="s">
        <v>2321</v>
      </c>
      <c r="D142" s="4572" t="s">
        <v>2322</v>
      </c>
      <c r="E142" s="4572" t="s">
        <v>2323</v>
      </c>
      <c r="F142" s="4572" t="s">
        <v>2324</v>
      </c>
      <c r="G142" s="4572" t="s">
        <v>24</v>
      </c>
      <c r="H142" s="4572" t="s">
        <v>24</v>
      </c>
      <c r="I142" s="4572" t="s">
        <v>903</v>
      </c>
    </row>
    <row r="143" spans="1:9" ht="11.25" customHeight="1">
      <c r="A143" s="4572" t="s">
        <v>2309</v>
      </c>
      <c r="B143" s="4572" t="s">
        <v>14</v>
      </c>
      <c r="C143" s="4572" t="s">
        <v>2325</v>
      </c>
      <c r="D143" s="4572" t="s">
        <v>2326</v>
      </c>
      <c r="E143" s="4572" t="s">
        <v>2327</v>
      </c>
      <c r="F143" s="4572" t="s">
        <v>2328</v>
      </c>
      <c r="G143" s="4572" t="s">
        <v>24</v>
      </c>
      <c r="H143" s="4572" t="s">
        <v>24</v>
      </c>
      <c r="I143" s="4572" t="s">
        <v>903</v>
      </c>
    </row>
    <row r="144" spans="1:9" ht="11.25" customHeight="1">
      <c r="A144" s="4572" t="s">
        <v>2309</v>
      </c>
      <c r="B144" s="4572" t="s">
        <v>14</v>
      </c>
      <c r="C144" s="4572" t="s">
        <v>2329</v>
      </c>
      <c r="D144" s="4572" t="s">
        <v>2330</v>
      </c>
      <c r="E144" s="4572" t="s">
        <v>2331</v>
      </c>
      <c r="F144" s="4572" t="s">
        <v>2332</v>
      </c>
      <c r="G144" s="4572" t="s">
        <v>24</v>
      </c>
      <c r="H144" s="4572" t="s">
        <v>24</v>
      </c>
      <c r="I144" s="4572" t="s">
        <v>903</v>
      </c>
    </row>
    <row r="145" spans="1:9" ht="11.25" customHeight="1">
      <c r="A145" s="4572" t="s">
        <v>2309</v>
      </c>
      <c r="B145" s="4572" t="s">
        <v>14</v>
      </c>
      <c r="C145" s="4572" t="s">
        <v>2337</v>
      </c>
      <c r="D145" s="4572" t="s">
        <v>2338</v>
      </c>
      <c r="E145" s="4572" t="s">
        <v>2339</v>
      </c>
      <c r="F145" s="4572" t="s">
        <v>2336</v>
      </c>
      <c r="G145" s="4572" t="s">
        <v>24</v>
      </c>
      <c r="H145" s="4572" t="s">
        <v>24</v>
      </c>
      <c r="I145" s="4572" t="s">
        <v>903</v>
      </c>
    </row>
    <row r="146" spans="1:9" ht="11.25" customHeight="1">
      <c r="A146" s="4572" t="s">
        <v>2309</v>
      </c>
      <c r="B146" s="4572" t="s">
        <v>14</v>
      </c>
      <c r="C146" s="4572" t="s">
        <v>2340</v>
      </c>
      <c r="D146" s="4572" t="s">
        <v>2341</v>
      </c>
      <c r="E146" s="4572" t="s">
        <v>2342</v>
      </c>
      <c r="F146" s="4572" t="s">
        <v>2343</v>
      </c>
      <c r="G146" s="4572" t="s">
        <v>24</v>
      </c>
      <c r="H146" s="4572" t="s">
        <v>24</v>
      </c>
      <c r="I146" s="4572" t="s">
        <v>903</v>
      </c>
    </row>
    <row r="147" spans="1:9" ht="11.25" customHeight="1">
      <c r="A147" s="4572" t="s">
        <v>2309</v>
      </c>
      <c r="B147" s="4572" t="s">
        <v>14</v>
      </c>
      <c r="C147" s="4572" t="s">
        <v>2642</v>
      </c>
      <c r="D147" s="4572" t="s">
        <v>2643</v>
      </c>
      <c r="E147" s="4572" t="s">
        <v>2644</v>
      </c>
      <c r="F147" s="4572" t="s">
        <v>2316</v>
      </c>
      <c r="G147" s="4572" t="s">
        <v>2645</v>
      </c>
      <c r="H147" s="4572" t="s">
        <v>24</v>
      </c>
      <c r="I147" s="4572" t="s">
        <v>903</v>
      </c>
    </row>
    <row r="148" spans="1:9" ht="11.25" customHeight="1">
      <c r="A148" s="4572" t="s">
        <v>2309</v>
      </c>
      <c r="B148" s="4572" t="s">
        <v>14</v>
      </c>
      <c r="C148" s="4572" t="s">
        <v>2646</v>
      </c>
      <c r="D148" s="4572" t="s">
        <v>2647</v>
      </c>
      <c r="E148" s="4572" t="s">
        <v>2648</v>
      </c>
      <c r="F148" s="4572" t="s">
        <v>2549</v>
      </c>
      <c r="G148" s="4572" t="s">
        <v>24</v>
      </c>
      <c r="H148" s="4572" t="s">
        <v>24</v>
      </c>
      <c r="I148" s="4572" t="s">
        <v>903</v>
      </c>
    </row>
    <row r="149" spans="1:9" ht="11.25" customHeight="1">
      <c r="A149" s="4572" t="s">
        <v>2309</v>
      </c>
      <c r="B149" s="4572" t="s">
        <v>14</v>
      </c>
      <c r="C149" s="4572" t="s">
        <v>2348</v>
      </c>
      <c r="D149" s="4572" t="s">
        <v>2349</v>
      </c>
      <c r="E149" s="4572" t="s">
        <v>2350</v>
      </c>
      <c r="F149" s="4572" t="s">
        <v>2316</v>
      </c>
      <c r="G149" s="4572" t="s">
        <v>24</v>
      </c>
      <c r="H149" s="4572" t="s">
        <v>24</v>
      </c>
      <c r="I149" s="4572" t="s">
        <v>903</v>
      </c>
    </row>
    <row r="150" spans="1:9" ht="11.25" customHeight="1">
      <c r="A150" s="4572" t="s">
        <v>2309</v>
      </c>
      <c r="B150" s="4572" t="s">
        <v>14</v>
      </c>
      <c r="C150" s="4572" t="s">
        <v>2354</v>
      </c>
      <c r="D150" s="4572" t="s">
        <v>2355</v>
      </c>
      <c r="E150" s="4572" t="s">
        <v>2356</v>
      </c>
      <c r="F150" s="4572" t="s">
        <v>2357</v>
      </c>
      <c r="G150" s="4572" t="s">
        <v>24</v>
      </c>
      <c r="H150" s="4572" t="s">
        <v>24</v>
      </c>
      <c r="I150" s="4572" t="s">
        <v>903</v>
      </c>
    </row>
    <row r="151" spans="1:9" ht="11.25" customHeight="1">
      <c r="A151" s="4572" t="s">
        <v>2309</v>
      </c>
      <c r="B151" s="4572" t="s">
        <v>14</v>
      </c>
      <c r="C151" s="4572" t="s">
        <v>2358</v>
      </c>
      <c r="D151" s="4572" t="s">
        <v>2359</v>
      </c>
      <c r="E151" s="4572" t="s">
        <v>2360</v>
      </c>
      <c r="F151" s="4572" t="s">
        <v>2361</v>
      </c>
      <c r="G151" s="4572" t="s">
        <v>24</v>
      </c>
      <c r="H151" s="4572" t="s">
        <v>24</v>
      </c>
      <c r="I151" s="4572" t="s">
        <v>903</v>
      </c>
    </row>
    <row r="152" spans="1:9" ht="11.25" customHeight="1">
      <c r="A152" s="4572" t="s">
        <v>2309</v>
      </c>
      <c r="B152" s="4572" t="s">
        <v>14</v>
      </c>
      <c r="C152" s="4572" t="s">
        <v>2362</v>
      </c>
      <c r="D152" s="4572" t="s">
        <v>2363</v>
      </c>
      <c r="E152" s="4572" t="s">
        <v>2364</v>
      </c>
      <c r="F152" s="4572" t="s">
        <v>2361</v>
      </c>
      <c r="G152" s="4572" t="s">
        <v>24</v>
      </c>
      <c r="H152" s="4572" t="s">
        <v>24</v>
      </c>
      <c r="I152" s="4572" t="s">
        <v>903</v>
      </c>
    </row>
    <row r="153" spans="1:9" ht="11.25" customHeight="1">
      <c r="A153" s="4572" t="s">
        <v>2309</v>
      </c>
      <c r="B153" s="4572" t="s">
        <v>14</v>
      </c>
      <c r="C153" s="4572" t="s">
        <v>2372</v>
      </c>
      <c r="D153" s="4572" t="s">
        <v>2373</v>
      </c>
      <c r="E153" s="4572" t="s">
        <v>2374</v>
      </c>
      <c r="F153" s="4572" t="s">
        <v>2375</v>
      </c>
      <c r="G153" s="4572" t="s">
        <v>2376</v>
      </c>
      <c r="H153" s="4572" t="s">
        <v>24</v>
      </c>
      <c r="I153" s="4572" t="s">
        <v>903</v>
      </c>
    </row>
    <row r="154" spans="1:9" ht="11.25" customHeight="1">
      <c r="A154" s="4572" t="s">
        <v>2309</v>
      </c>
      <c r="B154" s="4572" t="s">
        <v>14</v>
      </c>
      <c r="C154" s="4572" t="s">
        <v>2649</v>
      </c>
      <c r="D154" s="4572" t="s">
        <v>2650</v>
      </c>
      <c r="E154" s="4572" t="s">
        <v>2651</v>
      </c>
      <c r="F154" s="4572" t="s">
        <v>2357</v>
      </c>
      <c r="G154" s="4572" t="s">
        <v>24</v>
      </c>
      <c r="H154" s="4572" t="s">
        <v>24</v>
      </c>
      <c r="I154" s="4572" t="s">
        <v>903</v>
      </c>
    </row>
    <row r="155" spans="1:9" ht="11.25" customHeight="1">
      <c r="A155" s="4572" t="s">
        <v>2309</v>
      </c>
      <c r="B155" s="4572" t="s">
        <v>14</v>
      </c>
      <c r="C155" s="4572" t="s">
        <v>2652</v>
      </c>
      <c r="D155" s="4572" t="s">
        <v>2653</v>
      </c>
      <c r="E155" s="4572" t="s">
        <v>2654</v>
      </c>
      <c r="F155" s="4572" t="s">
        <v>710</v>
      </c>
      <c r="G155" s="4572" t="s">
        <v>24</v>
      </c>
      <c r="H155" s="4572" t="s">
        <v>24</v>
      </c>
      <c r="I155" s="4572" t="s">
        <v>903</v>
      </c>
    </row>
    <row r="156" spans="1:9" ht="11.25" customHeight="1">
      <c r="A156" s="4572" t="s">
        <v>2309</v>
      </c>
      <c r="B156" s="4572" t="s">
        <v>14</v>
      </c>
      <c r="C156" s="4572" t="s">
        <v>2655</v>
      </c>
      <c r="D156" s="4572" t="s">
        <v>2656</v>
      </c>
      <c r="E156" s="4572" t="s">
        <v>2657</v>
      </c>
      <c r="F156" s="4572" t="s">
        <v>710</v>
      </c>
      <c r="G156" s="4572" t="s">
        <v>2658</v>
      </c>
      <c r="H156" s="4572" t="s">
        <v>24</v>
      </c>
      <c r="I156" s="4572" t="s">
        <v>903</v>
      </c>
    </row>
    <row r="157" spans="1:9" ht="11.25" customHeight="1">
      <c r="A157" s="4572" t="s">
        <v>2309</v>
      </c>
      <c r="B157" s="4572" t="s">
        <v>14</v>
      </c>
      <c r="C157" s="4572" t="s">
        <v>2659</v>
      </c>
      <c r="D157" s="4572" t="s">
        <v>2660</v>
      </c>
      <c r="E157" s="4572" t="s">
        <v>2661</v>
      </c>
      <c r="F157" s="4572" t="s">
        <v>710</v>
      </c>
      <c r="G157" s="4572" t="s">
        <v>24</v>
      </c>
      <c r="H157" s="4572" t="s">
        <v>24</v>
      </c>
      <c r="I157" s="4572" t="s">
        <v>903</v>
      </c>
    </row>
    <row r="158" spans="1:9" ht="11.25" customHeight="1">
      <c r="A158" s="4572" t="s">
        <v>2309</v>
      </c>
      <c r="B158" s="4572" t="s">
        <v>14</v>
      </c>
      <c r="C158" s="4572" t="s">
        <v>2662</v>
      </c>
      <c r="D158" s="4572" t="s">
        <v>2663</v>
      </c>
      <c r="E158" s="4572" t="s">
        <v>2664</v>
      </c>
      <c r="F158" s="4572" t="s">
        <v>2438</v>
      </c>
      <c r="G158" s="4572" t="s">
        <v>2665</v>
      </c>
      <c r="H158" s="4572" t="s">
        <v>24</v>
      </c>
      <c r="I158" s="4572" t="s">
        <v>903</v>
      </c>
    </row>
    <row r="159" spans="1:9" ht="11.25" customHeight="1">
      <c r="A159" s="4572" t="s">
        <v>2309</v>
      </c>
      <c r="B159" s="4572" t="s">
        <v>14</v>
      </c>
      <c r="C159" s="4572" t="s">
        <v>2381</v>
      </c>
      <c r="D159" s="4572" t="s">
        <v>2382</v>
      </c>
      <c r="E159" s="4572" t="s">
        <v>2383</v>
      </c>
      <c r="F159" s="4572" t="s">
        <v>2384</v>
      </c>
      <c r="G159" s="4572" t="s">
        <v>24</v>
      </c>
      <c r="H159" s="4572" t="s">
        <v>24</v>
      </c>
      <c r="I159" s="4572" t="s">
        <v>903</v>
      </c>
    </row>
    <row r="160" spans="1:9" ht="11.25" customHeight="1">
      <c r="A160" s="4572" t="s">
        <v>2309</v>
      </c>
      <c r="B160" s="4572" t="s">
        <v>14</v>
      </c>
      <c r="C160" s="4572" t="s">
        <v>2385</v>
      </c>
      <c r="D160" s="4572" t="s">
        <v>2386</v>
      </c>
      <c r="E160" s="4572" t="s">
        <v>2387</v>
      </c>
      <c r="F160" s="4572" t="s">
        <v>2388</v>
      </c>
      <c r="G160" s="4572" t="s">
        <v>24</v>
      </c>
      <c r="H160" s="4572" t="s">
        <v>24</v>
      </c>
      <c r="I160" s="4572" t="s">
        <v>903</v>
      </c>
    </row>
    <row r="161" spans="1:9" ht="11.25" customHeight="1">
      <c r="A161" s="4572" t="s">
        <v>2309</v>
      </c>
      <c r="B161" s="4572" t="s">
        <v>14</v>
      </c>
      <c r="C161" s="4572" t="s">
        <v>2389</v>
      </c>
      <c r="D161" s="4572" t="s">
        <v>2390</v>
      </c>
      <c r="E161" s="4572" t="s">
        <v>2387</v>
      </c>
      <c r="F161" s="4572" t="s">
        <v>2391</v>
      </c>
      <c r="G161" s="4572" t="s">
        <v>24</v>
      </c>
      <c r="H161" s="4572" t="s">
        <v>24</v>
      </c>
      <c r="I161" s="4572" t="s">
        <v>903</v>
      </c>
    </row>
    <row r="162" spans="1:9" ht="11.25" customHeight="1">
      <c r="A162" s="4572" t="s">
        <v>2309</v>
      </c>
      <c r="B162" s="4572" t="s">
        <v>14</v>
      </c>
      <c r="C162" s="4572" t="s">
        <v>2666</v>
      </c>
      <c r="D162" s="4572" t="s">
        <v>2667</v>
      </c>
      <c r="E162" s="4572" t="s">
        <v>2668</v>
      </c>
      <c r="F162" s="4572" t="s">
        <v>2324</v>
      </c>
      <c r="G162" s="4572" t="s">
        <v>24</v>
      </c>
      <c r="H162" s="4572" t="s">
        <v>24</v>
      </c>
      <c r="I162" s="4572" t="s">
        <v>903</v>
      </c>
    </row>
    <row r="163" spans="1:9" ht="11.25" customHeight="1">
      <c r="A163" s="4572" t="s">
        <v>2309</v>
      </c>
      <c r="B163" s="4572" t="s">
        <v>14</v>
      </c>
      <c r="C163" s="4572" t="s">
        <v>2669</v>
      </c>
      <c r="D163" s="4572" t="s">
        <v>2670</v>
      </c>
      <c r="E163" s="4572" t="s">
        <v>2671</v>
      </c>
      <c r="F163" s="4572" t="s">
        <v>2361</v>
      </c>
      <c r="G163" s="4572" t="s">
        <v>2665</v>
      </c>
      <c r="H163" s="4572" t="s">
        <v>24</v>
      </c>
      <c r="I163" s="4572" t="s">
        <v>903</v>
      </c>
    </row>
    <row r="164" spans="1:9" ht="11.25" customHeight="1">
      <c r="A164" s="4572" t="s">
        <v>2309</v>
      </c>
      <c r="B164" s="4572" t="s">
        <v>14</v>
      </c>
      <c r="C164" s="4572" t="s">
        <v>2400</v>
      </c>
      <c r="D164" s="4572" t="s">
        <v>2401</v>
      </c>
      <c r="E164" s="4572" t="s">
        <v>2402</v>
      </c>
      <c r="F164" s="4572" t="s">
        <v>2403</v>
      </c>
      <c r="G164" s="4572" t="s">
        <v>24</v>
      </c>
      <c r="H164" s="4572" t="s">
        <v>24</v>
      </c>
      <c r="I164" s="4572" t="s">
        <v>903</v>
      </c>
    </row>
    <row r="165" spans="1:9" ht="11.25" customHeight="1">
      <c r="A165" s="4572" t="s">
        <v>2309</v>
      </c>
      <c r="B165" s="4572" t="s">
        <v>14</v>
      </c>
      <c r="C165" s="4572" t="s">
        <v>2404</v>
      </c>
      <c r="D165" s="4572" t="s">
        <v>2405</v>
      </c>
      <c r="E165" s="4572" t="s">
        <v>2406</v>
      </c>
      <c r="F165" s="4572" t="s">
        <v>2395</v>
      </c>
      <c r="G165" s="4572" t="s">
        <v>24</v>
      </c>
      <c r="H165" s="4572" t="s">
        <v>24</v>
      </c>
      <c r="I165" s="4572" t="s">
        <v>903</v>
      </c>
    </row>
    <row r="166" spans="1:9" ht="11.25" customHeight="1">
      <c r="A166" s="4572" t="s">
        <v>2309</v>
      </c>
      <c r="B166" s="4572" t="s">
        <v>14</v>
      </c>
      <c r="C166" s="4572" t="s">
        <v>2672</v>
      </c>
      <c r="D166" s="4572" t="s">
        <v>2673</v>
      </c>
      <c r="E166" s="4572" t="s">
        <v>2674</v>
      </c>
      <c r="F166" s="4572" t="s">
        <v>2361</v>
      </c>
      <c r="G166" s="4572" t="s">
        <v>24</v>
      </c>
      <c r="H166" s="4572" t="s">
        <v>24</v>
      </c>
      <c r="I166" s="4572" t="s">
        <v>903</v>
      </c>
    </row>
    <row r="167" spans="1:9" ht="11.25" customHeight="1">
      <c r="A167" s="4572" t="s">
        <v>2309</v>
      </c>
      <c r="B167" s="4572" t="s">
        <v>14</v>
      </c>
      <c r="C167" s="4572" t="s">
        <v>2675</v>
      </c>
      <c r="D167" s="4572" t="s">
        <v>2676</v>
      </c>
      <c r="E167" s="4572" t="s">
        <v>2677</v>
      </c>
      <c r="F167" s="4572" t="s">
        <v>2403</v>
      </c>
      <c r="G167" s="4572" t="s">
        <v>24</v>
      </c>
      <c r="H167" s="4572" t="s">
        <v>24</v>
      </c>
      <c r="I167" s="4572" t="s">
        <v>903</v>
      </c>
    </row>
    <row r="168" spans="1:9" ht="11.25" customHeight="1">
      <c r="A168" s="4572" t="s">
        <v>2309</v>
      </c>
      <c r="B168" s="4572" t="s">
        <v>14</v>
      </c>
      <c r="C168" s="4572" t="s">
        <v>2678</v>
      </c>
      <c r="D168" s="4572" t="s">
        <v>2679</v>
      </c>
      <c r="E168" s="4572" t="s">
        <v>2680</v>
      </c>
      <c r="F168" s="4572" t="s">
        <v>2361</v>
      </c>
      <c r="G168" s="4572" t="s">
        <v>24</v>
      </c>
      <c r="H168" s="4572" t="s">
        <v>24</v>
      </c>
      <c r="I168" s="4572" t="s">
        <v>903</v>
      </c>
    </row>
    <row r="169" spans="1:9" ht="11.25" customHeight="1">
      <c r="A169" s="4572" t="s">
        <v>2309</v>
      </c>
      <c r="B169" s="4572" t="s">
        <v>14</v>
      </c>
      <c r="C169" s="4572" t="s">
        <v>2410</v>
      </c>
      <c r="D169" s="4572" t="s">
        <v>2411</v>
      </c>
      <c r="E169" s="4572" t="s">
        <v>2412</v>
      </c>
      <c r="F169" s="4572" t="s">
        <v>2380</v>
      </c>
      <c r="G169" s="4572" t="s">
        <v>24</v>
      </c>
      <c r="H169" s="4572" t="s">
        <v>24</v>
      </c>
      <c r="I169" s="4572" t="s">
        <v>903</v>
      </c>
    </row>
    <row r="170" spans="1:9" ht="11.25" customHeight="1">
      <c r="A170" s="4572" t="s">
        <v>2309</v>
      </c>
      <c r="B170" s="4572" t="s">
        <v>14</v>
      </c>
      <c r="C170" s="4572" t="s">
        <v>2413</v>
      </c>
      <c r="D170" s="4572" t="s">
        <v>2414</v>
      </c>
      <c r="E170" s="4572" t="s">
        <v>2415</v>
      </c>
      <c r="F170" s="4572" t="s">
        <v>2380</v>
      </c>
      <c r="G170" s="4572" t="s">
        <v>2416</v>
      </c>
      <c r="H170" s="4572" t="s">
        <v>24</v>
      </c>
      <c r="I170" s="4572" t="s">
        <v>903</v>
      </c>
    </row>
    <row r="171" spans="1:9" ht="11.25" customHeight="1">
      <c r="A171" s="4572" t="s">
        <v>2309</v>
      </c>
      <c r="B171" s="4572" t="s">
        <v>14</v>
      </c>
      <c r="C171" s="4572" t="s">
        <v>2417</v>
      </c>
      <c r="D171" s="4572" t="s">
        <v>2418</v>
      </c>
      <c r="E171" s="4572" t="s">
        <v>2419</v>
      </c>
      <c r="F171" s="4572" t="s">
        <v>2420</v>
      </c>
      <c r="G171" s="4572" t="s">
        <v>2421</v>
      </c>
      <c r="H171" s="4572" t="s">
        <v>24</v>
      </c>
      <c r="I171" s="4572" t="s">
        <v>903</v>
      </c>
    </row>
    <row r="172" spans="1:9" ht="11.25" customHeight="1">
      <c r="A172" s="4572" t="s">
        <v>2309</v>
      </c>
      <c r="B172" s="4572" t="s">
        <v>14</v>
      </c>
      <c r="C172" s="4572" t="s">
        <v>2425</v>
      </c>
      <c r="D172" s="4572" t="s">
        <v>2426</v>
      </c>
      <c r="E172" s="4572" t="s">
        <v>2427</v>
      </c>
      <c r="F172" s="4572" t="s">
        <v>2420</v>
      </c>
      <c r="G172" s="4572" t="s">
        <v>2428</v>
      </c>
      <c r="H172" s="4572" t="s">
        <v>24</v>
      </c>
      <c r="I172" s="4572" t="s">
        <v>903</v>
      </c>
    </row>
    <row r="173" spans="1:9" ht="11.25" customHeight="1">
      <c r="A173" s="4572" t="s">
        <v>2309</v>
      </c>
      <c r="B173" s="4572" t="s">
        <v>14</v>
      </c>
      <c r="C173" s="4572" t="s">
        <v>2681</v>
      </c>
      <c r="D173" s="4572" t="s">
        <v>2682</v>
      </c>
      <c r="E173" s="4572" t="s">
        <v>2683</v>
      </c>
      <c r="F173" s="4572" t="s">
        <v>2395</v>
      </c>
      <c r="G173" s="4572" t="s">
        <v>24</v>
      </c>
      <c r="H173" s="4572" t="s">
        <v>24</v>
      </c>
      <c r="I173" s="4572" t="s">
        <v>903</v>
      </c>
    </row>
    <row r="174" spans="1:9" ht="11.25" customHeight="1">
      <c r="A174" s="4572" t="s">
        <v>2309</v>
      </c>
      <c r="B174" s="4572" t="s">
        <v>14</v>
      </c>
      <c r="C174" s="4572" t="s">
        <v>2684</v>
      </c>
      <c r="D174" s="4572" t="s">
        <v>2685</v>
      </c>
      <c r="E174" s="4572" t="s">
        <v>2686</v>
      </c>
      <c r="F174" s="4572" t="s">
        <v>2403</v>
      </c>
      <c r="G174" s="4572" t="s">
        <v>2687</v>
      </c>
      <c r="H174" s="4572" t="s">
        <v>24</v>
      </c>
      <c r="I174" s="4572" t="s">
        <v>903</v>
      </c>
    </row>
    <row r="175" spans="1:9" ht="11.25" customHeight="1">
      <c r="A175" s="4572" t="s">
        <v>2309</v>
      </c>
      <c r="B175" s="4572" t="s">
        <v>14</v>
      </c>
      <c r="C175" s="4572" t="s">
        <v>2688</v>
      </c>
      <c r="D175" s="4572" t="s">
        <v>2689</v>
      </c>
      <c r="E175" s="4572" t="s">
        <v>2690</v>
      </c>
      <c r="F175" s="4572" t="s">
        <v>2403</v>
      </c>
      <c r="G175" s="4572" t="s">
        <v>24</v>
      </c>
      <c r="H175" s="4572" t="s">
        <v>2691</v>
      </c>
      <c r="I175" s="4572" t="s">
        <v>903</v>
      </c>
    </row>
    <row r="176" spans="1:9" ht="11.25" customHeight="1">
      <c r="A176" s="4572" t="s">
        <v>2309</v>
      </c>
      <c r="B176" s="4572" t="s">
        <v>14</v>
      </c>
      <c r="C176" s="4572" t="s">
        <v>2692</v>
      </c>
      <c r="D176" s="4572" t="s">
        <v>2693</v>
      </c>
      <c r="E176" s="4572" t="s">
        <v>2694</v>
      </c>
      <c r="F176" s="4572" t="s">
        <v>2403</v>
      </c>
      <c r="G176" s="4572" t="s">
        <v>24</v>
      </c>
      <c r="H176" s="4572" t="s">
        <v>24</v>
      </c>
      <c r="I176" s="4572" t="s">
        <v>903</v>
      </c>
    </row>
    <row r="177" spans="1:9" ht="11.25" customHeight="1">
      <c r="A177" s="4572" t="s">
        <v>2309</v>
      </c>
      <c r="B177" s="4572" t="s">
        <v>14</v>
      </c>
      <c r="C177" s="4572" t="s">
        <v>2695</v>
      </c>
      <c r="D177" s="4572" t="s">
        <v>2696</v>
      </c>
      <c r="E177" s="4572" t="s">
        <v>2697</v>
      </c>
      <c r="F177" s="4572" t="s">
        <v>2403</v>
      </c>
      <c r="G177" s="4572" t="s">
        <v>2698</v>
      </c>
      <c r="H177" s="4572" t="s">
        <v>24</v>
      </c>
      <c r="I177" s="4572" t="s">
        <v>903</v>
      </c>
    </row>
    <row r="178" spans="1:9" ht="11.25" customHeight="1">
      <c r="A178" s="4572" t="s">
        <v>2309</v>
      </c>
      <c r="B178" s="4572" t="s">
        <v>14</v>
      </c>
      <c r="C178" s="4572" t="s">
        <v>2699</v>
      </c>
      <c r="D178" s="4572" t="s">
        <v>2700</v>
      </c>
      <c r="E178" s="4572" t="s">
        <v>2701</v>
      </c>
      <c r="F178" s="4572" t="s">
        <v>2403</v>
      </c>
      <c r="G178" s="4572" t="s">
        <v>24</v>
      </c>
      <c r="H178" s="4572" t="s">
        <v>24</v>
      </c>
      <c r="I178" s="4572" t="s">
        <v>903</v>
      </c>
    </row>
    <row r="179" spans="1:9" ht="11.25" customHeight="1">
      <c r="A179" s="4572" t="s">
        <v>2309</v>
      </c>
      <c r="B179" s="4572" t="s">
        <v>14</v>
      </c>
      <c r="C179" s="4572" t="s">
        <v>2702</v>
      </c>
      <c r="D179" s="4572" t="s">
        <v>2700</v>
      </c>
      <c r="E179" s="4572" t="s">
        <v>2703</v>
      </c>
      <c r="F179" s="4572" t="s">
        <v>2361</v>
      </c>
      <c r="G179" s="4572" t="s">
        <v>24</v>
      </c>
      <c r="H179" s="4572" t="s">
        <v>24</v>
      </c>
      <c r="I179" s="4572" t="s">
        <v>903</v>
      </c>
    </row>
    <row r="180" spans="1:9" ht="11.25" customHeight="1">
      <c r="A180" s="4572" t="s">
        <v>2309</v>
      </c>
      <c r="B180" s="4572" t="s">
        <v>14</v>
      </c>
      <c r="C180" s="4572" t="s">
        <v>2704</v>
      </c>
      <c r="D180" s="4572" t="s">
        <v>2705</v>
      </c>
      <c r="E180" s="4572" t="s">
        <v>2706</v>
      </c>
      <c r="F180" s="4572" t="s">
        <v>2707</v>
      </c>
      <c r="G180" s="4572" t="s">
        <v>24</v>
      </c>
      <c r="H180" s="4572" t="s">
        <v>24</v>
      </c>
      <c r="I180" s="4572" t="s">
        <v>903</v>
      </c>
    </row>
    <row r="181" spans="1:9" ht="11.25" customHeight="1">
      <c r="A181" s="4572" t="s">
        <v>2309</v>
      </c>
      <c r="B181" s="4572" t="s">
        <v>14</v>
      </c>
      <c r="C181" s="4572" t="s">
        <v>2708</v>
      </c>
      <c r="D181" s="4572" t="s">
        <v>2709</v>
      </c>
      <c r="E181" s="4572" t="s">
        <v>2710</v>
      </c>
      <c r="F181" s="4572" t="s">
        <v>2380</v>
      </c>
      <c r="G181" s="4572" t="s">
        <v>2711</v>
      </c>
      <c r="H181" s="4572" t="s">
        <v>24</v>
      </c>
      <c r="I181" s="4572" t="s">
        <v>903</v>
      </c>
    </row>
    <row r="182" spans="1:9" ht="11.25" customHeight="1">
      <c r="A182" s="4572" t="s">
        <v>2309</v>
      </c>
      <c r="B182" s="4572" t="s">
        <v>14</v>
      </c>
      <c r="C182" s="4572" t="s">
        <v>2712</v>
      </c>
      <c r="D182" s="4572" t="s">
        <v>2713</v>
      </c>
      <c r="E182" s="4572" t="s">
        <v>2714</v>
      </c>
      <c r="F182" s="4572" t="s">
        <v>2707</v>
      </c>
      <c r="G182" s="4572" t="s">
        <v>24</v>
      </c>
      <c r="H182" s="4572" t="s">
        <v>24</v>
      </c>
      <c r="I182" s="4572" t="s">
        <v>903</v>
      </c>
    </row>
    <row r="183" spans="1:9" ht="11.25" customHeight="1">
      <c r="A183" s="4572" t="s">
        <v>2309</v>
      </c>
      <c r="B183" s="4572" t="s">
        <v>14</v>
      </c>
      <c r="C183" s="4572" t="s">
        <v>2715</v>
      </c>
      <c r="D183" s="4572" t="s">
        <v>2716</v>
      </c>
      <c r="E183" s="4572" t="s">
        <v>2717</v>
      </c>
      <c r="F183" s="4572" t="s">
        <v>2403</v>
      </c>
      <c r="G183" s="4572" t="s">
        <v>24</v>
      </c>
      <c r="H183" s="4572" t="s">
        <v>24</v>
      </c>
      <c r="I183" s="4572" t="s">
        <v>903</v>
      </c>
    </row>
    <row r="184" spans="1:9" ht="11.25" customHeight="1">
      <c r="A184" s="4572" t="s">
        <v>2309</v>
      </c>
      <c r="B184" s="4572" t="s">
        <v>14</v>
      </c>
      <c r="C184" s="4572" t="s">
        <v>2718</v>
      </c>
      <c r="D184" s="4572" t="s">
        <v>2719</v>
      </c>
      <c r="E184" s="4572" t="s">
        <v>2720</v>
      </c>
      <c r="F184" s="4572" t="s">
        <v>2403</v>
      </c>
      <c r="G184" s="4572" t="s">
        <v>24</v>
      </c>
      <c r="H184" s="4572" t="s">
        <v>2721</v>
      </c>
      <c r="I184" s="4572" t="s">
        <v>903</v>
      </c>
    </row>
    <row r="185" spans="1:9" ht="11.25" customHeight="1">
      <c r="A185" s="4572" t="s">
        <v>2309</v>
      </c>
      <c r="B185" s="4572" t="s">
        <v>14</v>
      </c>
      <c r="C185" s="4572" t="s">
        <v>2722</v>
      </c>
      <c r="D185" s="4572" t="s">
        <v>2723</v>
      </c>
      <c r="E185" s="4572" t="s">
        <v>2724</v>
      </c>
      <c r="F185" s="4572" t="s">
        <v>2347</v>
      </c>
      <c r="G185" s="4572" t="s">
        <v>24</v>
      </c>
      <c r="H185" s="4572" t="s">
        <v>24</v>
      </c>
      <c r="I185" s="4572" t="s">
        <v>903</v>
      </c>
    </row>
    <row r="186" spans="1:9" ht="11.25" customHeight="1">
      <c r="A186" s="4572" t="s">
        <v>2309</v>
      </c>
      <c r="B186" s="4572" t="s">
        <v>14</v>
      </c>
      <c r="C186" s="4572" t="s">
        <v>2725</v>
      </c>
      <c r="D186" s="4572" t="s">
        <v>2726</v>
      </c>
      <c r="E186" s="4572" t="s">
        <v>2727</v>
      </c>
      <c r="F186" s="4572" t="s">
        <v>2375</v>
      </c>
      <c r="G186" s="4572" t="s">
        <v>24</v>
      </c>
      <c r="H186" s="4572" t="s">
        <v>24</v>
      </c>
      <c r="I186" s="4572" t="s">
        <v>903</v>
      </c>
    </row>
    <row r="187" spans="1:9" ht="11.25" customHeight="1">
      <c r="A187" s="4572" t="s">
        <v>2309</v>
      </c>
      <c r="B187" s="4572" t="s">
        <v>14</v>
      </c>
      <c r="C187" s="4572" t="s">
        <v>2728</v>
      </c>
      <c r="D187" s="4572" t="s">
        <v>2729</v>
      </c>
      <c r="E187" s="4572" t="s">
        <v>2730</v>
      </c>
      <c r="F187" s="4572" t="s">
        <v>2375</v>
      </c>
      <c r="G187" s="4572" t="s">
        <v>24</v>
      </c>
      <c r="H187" s="4572" t="s">
        <v>24</v>
      </c>
      <c r="I187" s="4572" t="s">
        <v>903</v>
      </c>
    </row>
    <row r="188" spans="1:9" ht="11.25" customHeight="1">
      <c r="A188" s="4572" t="s">
        <v>2309</v>
      </c>
      <c r="B188" s="4572" t="s">
        <v>14</v>
      </c>
      <c r="C188" s="4572" t="s">
        <v>2731</v>
      </c>
      <c r="D188" s="4572" t="s">
        <v>2732</v>
      </c>
      <c r="E188" s="4572" t="s">
        <v>2733</v>
      </c>
      <c r="F188" s="4572" t="s">
        <v>2403</v>
      </c>
      <c r="G188" s="4572" t="s">
        <v>24</v>
      </c>
      <c r="H188" s="4572" t="s">
        <v>24</v>
      </c>
      <c r="I188" s="4572" t="s">
        <v>903</v>
      </c>
    </row>
    <row r="189" spans="1:9" ht="11.25" customHeight="1">
      <c r="A189" s="4572" t="s">
        <v>2309</v>
      </c>
      <c r="B189" s="4572" t="s">
        <v>14</v>
      </c>
      <c r="C189" s="4572" t="s">
        <v>2734</v>
      </c>
      <c r="D189" s="4572" t="s">
        <v>2735</v>
      </c>
      <c r="E189" s="4572" t="s">
        <v>2736</v>
      </c>
      <c r="F189" s="4572" t="s">
        <v>2403</v>
      </c>
      <c r="G189" s="4572" t="s">
        <v>24</v>
      </c>
      <c r="H189" s="4572" t="s">
        <v>2737</v>
      </c>
      <c r="I189" s="4572" t="s">
        <v>903</v>
      </c>
    </row>
    <row r="190" spans="1:9" ht="11.25" customHeight="1">
      <c r="A190" s="4572" t="s">
        <v>2309</v>
      </c>
      <c r="B190" s="4572" t="s">
        <v>14</v>
      </c>
      <c r="C190" s="4572" t="s">
        <v>2447</v>
      </c>
      <c r="D190" s="4572" t="s">
        <v>2448</v>
      </c>
      <c r="E190" s="4572" t="s">
        <v>2449</v>
      </c>
      <c r="F190" s="4572" t="s">
        <v>2375</v>
      </c>
      <c r="G190" s="4572" t="s">
        <v>24</v>
      </c>
      <c r="H190" s="4572" t="s">
        <v>24</v>
      </c>
      <c r="I190" s="4572" t="s">
        <v>903</v>
      </c>
    </row>
    <row r="191" spans="1:9" ht="11.25" customHeight="1">
      <c r="A191" s="4572" t="s">
        <v>2309</v>
      </c>
      <c r="B191" s="4572" t="s">
        <v>14</v>
      </c>
      <c r="C191" s="4572" t="s">
        <v>2738</v>
      </c>
      <c r="D191" s="4572" t="s">
        <v>2739</v>
      </c>
      <c r="E191" s="4572" t="s">
        <v>2740</v>
      </c>
      <c r="F191" s="4572" t="s">
        <v>2375</v>
      </c>
      <c r="G191" s="4572" t="s">
        <v>24</v>
      </c>
      <c r="H191" s="4572" t="s">
        <v>24</v>
      </c>
      <c r="I191" s="4572" t="s">
        <v>903</v>
      </c>
    </row>
    <row r="192" spans="1:9" ht="11.25" customHeight="1">
      <c r="A192" s="4572" t="s">
        <v>2309</v>
      </c>
      <c r="B192" s="4572" t="s">
        <v>14</v>
      </c>
      <c r="C192" s="4572" t="s">
        <v>2741</v>
      </c>
      <c r="D192" s="4572" t="s">
        <v>2739</v>
      </c>
      <c r="E192" s="4572" t="s">
        <v>2742</v>
      </c>
      <c r="F192" s="4572" t="s">
        <v>2403</v>
      </c>
      <c r="G192" s="4572" t="s">
        <v>24</v>
      </c>
      <c r="H192" s="4572" t="s">
        <v>24</v>
      </c>
      <c r="I192" s="4572" t="s">
        <v>903</v>
      </c>
    </row>
    <row r="193" spans="1:9" ht="11.25" customHeight="1">
      <c r="A193" s="4572" t="s">
        <v>2309</v>
      </c>
      <c r="B193" s="4572" t="s">
        <v>14</v>
      </c>
      <c r="C193" s="4572" t="s">
        <v>2743</v>
      </c>
      <c r="D193" s="4572" t="s">
        <v>2739</v>
      </c>
      <c r="E193" s="4572" t="s">
        <v>2744</v>
      </c>
      <c r="F193" s="4572" t="s">
        <v>2395</v>
      </c>
      <c r="G193" s="4572" t="s">
        <v>24</v>
      </c>
      <c r="H193" s="4572" t="s">
        <v>24</v>
      </c>
      <c r="I193" s="4572" t="s">
        <v>903</v>
      </c>
    </row>
    <row r="194" spans="1:9" ht="11.25" customHeight="1">
      <c r="A194" s="4572" t="s">
        <v>2309</v>
      </c>
      <c r="B194" s="4572" t="s">
        <v>14</v>
      </c>
      <c r="C194" s="4572" t="s">
        <v>2745</v>
      </c>
      <c r="D194" s="4572" t="s">
        <v>2746</v>
      </c>
      <c r="E194" s="4572" t="s">
        <v>2747</v>
      </c>
      <c r="F194" s="4572" t="s">
        <v>2361</v>
      </c>
      <c r="G194" s="4572" t="s">
        <v>24</v>
      </c>
      <c r="H194" s="4572" t="s">
        <v>24</v>
      </c>
      <c r="I194" s="4572" t="s">
        <v>903</v>
      </c>
    </row>
    <row r="195" spans="1:9" ht="11.25" customHeight="1">
      <c r="A195" s="4572" t="s">
        <v>2309</v>
      </c>
      <c r="B195" s="4572" t="s">
        <v>14</v>
      </c>
      <c r="C195" s="4572" t="s">
        <v>2748</v>
      </c>
      <c r="D195" s="4572" t="s">
        <v>2749</v>
      </c>
      <c r="E195" s="4572" t="s">
        <v>2750</v>
      </c>
      <c r="F195" s="4572" t="s">
        <v>2395</v>
      </c>
      <c r="G195" s="4572" t="s">
        <v>24</v>
      </c>
      <c r="H195" s="4572" t="s">
        <v>24</v>
      </c>
      <c r="I195" s="4572" t="s">
        <v>903</v>
      </c>
    </row>
    <row r="196" spans="1:9" ht="11.25" customHeight="1">
      <c r="A196" s="4572" t="s">
        <v>2309</v>
      </c>
      <c r="B196" s="4572" t="s">
        <v>14</v>
      </c>
      <c r="C196" s="4572" t="s">
        <v>2751</v>
      </c>
      <c r="D196" s="4572" t="s">
        <v>2752</v>
      </c>
      <c r="E196" s="4572" t="s">
        <v>2753</v>
      </c>
      <c r="F196" s="4572" t="s">
        <v>2375</v>
      </c>
      <c r="G196" s="4572" t="s">
        <v>24</v>
      </c>
      <c r="H196" s="4572" t="s">
        <v>24</v>
      </c>
      <c r="I196" s="4572" t="s">
        <v>903</v>
      </c>
    </row>
    <row r="197" spans="1:9" ht="11.25" customHeight="1">
      <c r="A197" s="4572" t="s">
        <v>2309</v>
      </c>
      <c r="B197" s="4572" t="s">
        <v>14</v>
      </c>
      <c r="C197" s="4572" t="s">
        <v>2754</v>
      </c>
      <c r="D197" s="4572" t="s">
        <v>2755</v>
      </c>
      <c r="E197" s="4572" t="s">
        <v>2756</v>
      </c>
      <c r="F197" s="4572" t="s">
        <v>2403</v>
      </c>
      <c r="G197" s="4572" t="s">
        <v>24</v>
      </c>
      <c r="H197" s="4572" t="s">
        <v>24</v>
      </c>
      <c r="I197" s="4572" t="s">
        <v>903</v>
      </c>
    </row>
    <row r="198" spans="1:9" ht="11.25" customHeight="1">
      <c r="A198" s="4572" t="s">
        <v>2309</v>
      </c>
      <c r="B198" s="4572" t="s">
        <v>14</v>
      </c>
      <c r="C198" s="4572" t="s">
        <v>2757</v>
      </c>
      <c r="D198" s="4572" t="s">
        <v>2758</v>
      </c>
      <c r="E198" s="4572" t="s">
        <v>2759</v>
      </c>
      <c r="F198" s="4572" t="s">
        <v>2403</v>
      </c>
      <c r="G198" s="4572" t="s">
        <v>24</v>
      </c>
      <c r="H198" s="4572" t="s">
        <v>24</v>
      </c>
      <c r="I198" s="4572" t="s">
        <v>903</v>
      </c>
    </row>
    <row r="199" spans="1:9" ht="11.25" customHeight="1">
      <c r="A199" s="4572" t="s">
        <v>2309</v>
      </c>
      <c r="B199" s="4572" t="s">
        <v>14</v>
      </c>
      <c r="C199" s="4572" t="s">
        <v>2453</v>
      </c>
      <c r="D199" s="4572" t="s">
        <v>2454</v>
      </c>
      <c r="E199" s="4572" t="s">
        <v>2455</v>
      </c>
      <c r="F199" s="4572" t="s">
        <v>2380</v>
      </c>
      <c r="G199" s="4572" t="s">
        <v>24</v>
      </c>
      <c r="H199" s="4572" t="s">
        <v>24</v>
      </c>
      <c r="I199" s="4572" t="s">
        <v>903</v>
      </c>
    </row>
    <row r="200" spans="1:9" ht="11.25" customHeight="1">
      <c r="A200" s="4572" t="s">
        <v>2309</v>
      </c>
      <c r="B200" s="4572" t="s">
        <v>14</v>
      </c>
      <c r="C200" s="4572" t="s">
        <v>2760</v>
      </c>
      <c r="D200" s="4572" t="s">
        <v>2761</v>
      </c>
      <c r="E200" s="4572" t="s">
        <v>2762</v>
      </c>
      <c r="F200" s="4572" t="s">
        <v>2707</v>
      </c>
      <c r="G200" s="4572" t="s">
        <v>24</v>
      </c>
      <c r="H200" s="4572" t="s">
        <v>24</v>
      </c>
      <c r="I200" s="4572" t="s">
        <v>903</v>
      </c>
    </row>
    <row r="201" spans="1:9" ht="11.25" customHeight="1">
      <c r="A201" s="4572" t="s">
        <v>2309</v>
      </c>
      <c r="B201" s="4572" t="s">
        <v>14</v>
      </c>
      <c r="C201" s="4572" t="s">
        <v>2456</v>
      </c>
      <c r="D201" s="4572" t="s">
        <v>2457</v>
      </c>
      <c r="E201" s="4572" t="s">
        <v>2458</v>
      </c>
      <c r="F201" s="4572" t="s">
        <v>2403</v>
      </c>
      <c r="G201" s="4572" t="s">
        <v>2459</v>
      </c>
      <c r="H201" s="4572" t="s">
        <v>24</v>
      </c>
      <c r="I201" s="4572" t="s">
        <v>903</v>
      </c>
    </row>
    <row r="202" spans="1:9" ht="11.25" customHeight="1">
      <c r="A202" s="4572" t="s">
        <v>2309</v>
      </c>
      <c r="B202" s="4572" t="s">
        <v>14</v>
      </c>
      <c r="C202" s="4572" t="s">
        <v>2460</v>
      </c>
      <c r="D202" s="4572" t="s">
        <v>2461</v>
      </c>
      <c r="E202" s="4572" t="s">
        <v>2462</v>
      </c>
      <c r="F202" s="4572" t="s">
        <v>2395</v>
      </c>
      <c r="G202" s="4572" t="s">
        <v>24</v>
      </c>
      <c r="H202" s="4572" t="s">
        <v>24</v>
      </c>
      <c r="I202" s="4572" t="s">
        <v>903</v>
      </c>
    </row>
    <row r="203" spans="1:9" ht="11.25" customHeight="1">
      <c r="A203" s="4572" t="s">
        <v>2309</v>
      </c>
      <c r="B203" s="4572" t="s">
        <v>14</v>
      </c>
      <c r="C203" s="4572" t="s">
        <v>2463</v>
      </c>
      <c r="D203" s="4572" t="s">
        <v>2464</v>
      </c>
      <c r="E203" s="4572" t="s">
        <v>2465</v>
      </c>
      <c r="F203" s="4572" t="s">
        <v>2361</v>
      </c>
      <c r="G203" s="4572" t="s">
        <v>24</v>
      </c>
      <c r="H203" s="4572" t="s">
        <v>24</v>
      </c>
      <c r="I203" s="4572" t="s">
        <v>903</v>
      </c>
    </row>
    <row r="204" spans="1:9" ht="11.25" customHeight="1">
      <c r="A204" s="4572" t="s">
        <v>2309</v>
      </c>
      <c r="B204" s="4572" t="s">
        <v>14</v>
      </c>
      <c r="C204" s="4572" t="s">
        <v>2763</v>
      </c>
      <c r="D204" s="4572" t="s">
        <v>2764</v>
      </c>
      <c r="E204" s="4572" t="s">
        <v>2765</v>
      </c>
      <c r="F204" s="4572" t="s">
        <v>2375</v>
      </c>
      <c r="G204" s="4572" t="s">
        <v>24</v>
      </c>
      <c r="H204" s="4572" t="s">
        <v>24</v>
      </c>
      <c r="I204" s="4572" t="s">
        <v>903</v>
      </c>
    </row>
    <row r="205" spans="1:9" ht="11.25" customHeight="1">
      <c r="A205" s="4572" t="s">
        <v>2309</v>
      </c>
      <c r="B205" s="4572" t="s">
        <v>14</v>
      </c>
      <c r="C205" s="4572" t="s">
        <v>2766</v>
      </c>
      <c r="D205" s="4572" t="s">
        <v>2767</v>
      </c>
      <c r="E205" s="4572" t="s">
        <v>2768</v>
      </c>
      <c r="F205" s="4572" t="s">
        <v>2324</v>
      </c>
      <c r="G205" s="4572" t="s">
        <v>24</v>
      </c>
      <c r="H205" s="4572" t="s">
        <v>24</v>
      </c>
      <c r="I205" s="4572" t="s">
        <v>903</v>
      </c>
    </row>
    <row r="206" spans="1:9" ht="11.25" customHeight="1">
      <c r="A206" s="4572" t="s">
        <v>2309</v>
      </c>
      <c r="B206" s="4572" t="s">
        <v>14</v>
      </c>
      <c r="C206" s="4572" t="s">
        <v>2466</v>
      </c>
      <c r="D206" s="4572" t="s">
        <v>2467</v>
      </c>
      <c r="E206" s="4572" t="s">
        <v>2468</v>
      </c>
      <c r="F206" s="4572" t="s">
        <v>2420</v>
      </c>
      <c r="G206" s="4572" t="s">
        <v>24</v>
      </c>
      <c r="H206" s="4572" t="s">
        <v>24</v>
      </c>
      <c r="I206" s="4572" t="s">
        <v>903</v>
      </c>
    </row>
    <row r="207" spans="1:9" ht="11.25" customHeight="1">
      <c r="A207" s="4572" t="s">
        <v>2309</v>
      </c>
      <c r="B207" s="4572" t="s">
        <v>14</v>
      </c>
      <c r="C207" s="4572" t="s">
        <v>2769</v>
      </c>
      <c r="D207" s="4572" t="s">
        <v>2770</v>
      </c>
      <c r="E207" s="4572" t="s">
        <v>2771</v>
      </c>
      <c r="F207" s="4572" t="s">
        <v>2403</v>
      </c>
      <c r="G207" s="4572" t="s">
        <v>24</v>
      </c>
      <c r="H207" s="4572" t="s">
        <v>24</v>
      </c>
      <c r="I207" s="4572" t="s">
        <v>903</v>
      </c>
    </row>
    <row r="208" spans="1:9" ht="11.25" customHeight="1">
      <c r="A208" s="4572" t="s">
        <v>2309</v>
      </c>
      <c r="B208" s="4572" t="s">
        <v>14</v>
      </c>
      <c r="C208" s="4572" t="s">
        <v>2772</v>
      </c>
      <c r="D208" s="4572" t="s">
        <v>2773</v>
      </c>
      <c r="E208" s="4572" t="s">
        <v>2774</v>
      </c>
      <c r="F208" s="4572" t="s">
        <v>2395</v>
      </c>
      <c r="G208" s="4572" t="s">
        <v>2775</v>
      </c>
      <c r="H208" s="4572" t="s">
        <v>24</v>
      </c>
      <c r="I208" s="4572" t="s">
        <v>903</v>
      </c>
    </row>
    <row r="209" spans="1:9" ht="11.25" customHeight="1">
      <c r="A209" s="4572" t="s">
        <v>2309</v>
      </c>
      <c r="B209" s="4572" t="s">
        <v>14</v>
      </c>
      <c r="C209" s="4572" t="s">
        <v>2776</v>
      </c>
      <c r="D209" s="4572" t="s">
        <v>2777</v>
      </c>
      <c r="E209" s="4572" t="s">
        <v>2778</v>
      </c>
      <c r="F209" s="4572" t="s">
        <v>2403</v>
      </c>
      <c r="G209" s="4572" t="s">
        <v>24</v>
      </c>
      <c r="H209" s="4572" t="s">
        <v>24</v>
      </c>
      <c r="I209" s="4572" t="s">
        <v>903</v>
      </c>
    </row>
    <row r="210" spans="1:9" ht="11.25" customHeight="1">
      <c r="A210" s="4572" t="s">
        <v>2309</v>
      </c>
      <c r="B210" s="4572" t="s">
        <v>14</v>
      </c>
      <c r="C210" s="4572" t="s">
        <v>2779</v>
      </c>
      <c r="D210" s="4572" t="s">
        <v>2780</v>
      </c>
      <c r="E210" s="4572" t="s">
        <v>2781</v>
      </c>
      <c r="F210" s="4572" t="s">
        <v>2324</v>
      </c>
      <c r="G210" s="4572" t="s">
        <v>24</v>
      </c>
      <c r="H210" s="4572" t="s">
        <v>24</v>
      </c>
      <c r="I210" s="4572" t="s">
        <v>903</v>
      </c>
    </row>
    <row r="211" spans="1:9" ht="11.25" customHeight="1">
      <c r="A211" s="4572" t="s">
        <v>2309</v>
      </c>
      <c r="B211" s="4572" t="s">
        <v>14</v>
      </c>
      <c r="C211" s="4572" t="s">
        <v>2782</v>
      </c>
      <c r="D211" s="4572" t="s">
        <v>2783</v>
      </c>
      <c r="E211" s="4572" t="s">
        <v>2784</v>
      </c>
      <c r="F211" s="4572" t="s">
        <v>2403</v>
      </c>
      <c r="G211" s="4572" t="s">
        <v>2785</v>
      </c>
      <c r="H211" s="4572" t="s">
        <v>2721</v>
      </c>
      <c r="I211" s="4572" t="s">
        <v>903</v>
      </c>
    </row>
    <row r="212" spans="1:9" ht="11.25" customHeight="1">
      <c r="A212" s="4572" t="s">
        <v>2309</v>
      </c>
      <c r="B212" s="4572" t="s">
        <v>14</v>
      </c>
      <c r="C212" s="4572" t="s">
        <v>2786</v>
      </c>
      <c r="D212" s="4572" t="s">
        <v>2787</v>
      </c>
      <c r="E212" s="4572" t="s">
        <v>2788</v>
      </c>
      <c r="F212" s="4572" t="s">
        <v>2420</v>
      </c>
      <c r="G212" s="4572" t="s">
        <v>24</v>
      </c>
      <c r="H212" s="4572" t="s">
        <v>24</v>
      </c>
      <c r="I212" s="4572" t="s">
        <v>903</v>
      </c>
    </row>
    <row r="213" spans="1:9" ht="11.25" customHeight="1">
      <c r="A213" s="4572" t="s">
        <v>2309</v>
      </c>
      <c r="B213" s="4572" t="s">
        <v>14</v>
      </c>
      <c r="C213" s="4572" t="s">
        <v>2789</v>
      </c>
      <c r="D213" s="4572" t="s">
        <v>2790</v>
      </c>
      <c r="E213" s="4572" t="s">
        <v>2791</v>
      </c>
      <c r="F213" s="4572" t="s">
        <v>2347</v>
      </c>
      <c r="G213" s="4572" t="s">
        <v>24</v>
      </c>
      <c r="H213" s="4572" t="s">
        <v>24</v>
      </c>
      <c r="I213" s="4572" t="s">
        <v>903</v>
      </c>
    </row>
    <row r="214" spans="1:9" ht="11.25" customHeight="1">
      <c r="A214" s="4572" t="s">
        <v>2309</v>
      </c>
      <c r="B214" s="4572" t="s">
        <v>14</v>
      </c>
      <c r="C214" s="4572" t="s">
        <v>2792</v>
      </c>
      <c r="D214" s="4572" t="s">
        <v>2793</v>
      </c>
      <c r="E214" s="4572" t="s">
        <v>2794</v>
      </c>
      <c r="F214" s="4572" t="s">
        <v>2403</v>
      </c>
      <c r="G214" s="4572" t="s">
        <v>2795</v>
      </c>
      <c r="H214" s="4572" t="s">
        <v>2721</v>
      </c>
      <c r="I214" s="4572" t="s">
        <v>903</v>
      </c>
    </row>
    <row r="215" spans="1:9" ht="11.25" customHeight="1">
      <c r="A215" s="4572" t="s">
        <v>2309</v>
      </c>
      <c r="B215" s="4572" t="s">
        <v>14</v>
      </c>
      <c r="C215" s="4572" t="s">
        <v>2469</v>
      </c>
      <c r="D215" s="4572" t="s">
        <v>2470</v>
      </c>
      <c r="E215" s="4572" t="s">
        <v>2471</v>
      </c>
      <c r="F215" s="4572" t="s">
        <v>2420</v>
      </c>
      <c r="G215" s="4572" t="s">
        <v>24</v>
      </c>
      <c r="H215" s="4572" t="s">
        <v>24</v>
      </c>
      <c r="I215" s="4572" t="s">
        <v>903</v>
      </c>
    </row>
    <row r="216" spans="1:9" ht="11.25" customHeight="1">
      <c r="A216" s="4572" t="s">
        <v>2309</v>
      </c>
      <c r="B216" s="4572" t="s">
        <v>14</v>
      </c>
      <c r="C216" s="4572" t="s">
        <v>2796</v>
      </c>
      <c r="D216" s="4572" t="s">
        <v>2797</v>
      </c>
      <c r="E216" s="4572" t="s">
        <v>2798</v>
      </c>
      <c r="F216" s="4572" t="s">
        <v>2375</v>
      </c>
      <c r="G216" s="4572" t="s">
        <v>24</v>
      </c>
      <c r="H216" s="4572" t="s">
        <v>24</v>
      </c>
      <c r="I216" s="4572" t="s">
        <v>903</v>
      </c>
    </row>
    <row r="217" spans="1:9" ht="11.25" customHeight="1">
      <c r="A217" s="4572" t="s">
        <v>2309</v>
      </c>
      <c r="B217" s="4572" t="s">
        <v>14</v>
      </c>
      <c r="C217" s="4572" t="s">
        <v>2799</v>
      </c>
      <c r="D217" s="4572" t="s">
        <v>2800</v>
      </c>
      <c r="E217" s="4572" t="s">
        <v>2801</v>
      </c>
      <c r="F217" s="4572" t="s">
        <v>2380</v>
      </c>
      <c r="G217" s="4572" t="s">
        <v>24</v>
      </c>
      <c r="H217" s="4572" t="s">
        <v>24</v>
      </c>
      <c r="I217" s="4572" t="s">
        <v>903</v>
      </c>
    </row>
    <row r="218" spans="1:9" ht="11.25" customHeight="1">
      <c r="A218" s="4572" t="s">
        <v>2309</v>
      </c>
      <c r="B218" s="4572" t="s">
        <v>14</v>
      </c>
      <c r="C218" s="4572" t="s">
        <v>2481</v>
      </c>
      <c r="D218" s="4572" t="s">
        <v>2482</v>
      </c>
      <c r="E218" s="4572" t="s">
        <v>2483</v>
      </c>
      <c r="F218" s="4572" t="s">
        <v>2420</v>
      </c>
      <c r="G218" s="4572" t="s">
        <v>2484</v>
      </c>
      <c r="H218" s="4572" t="s">
        <v>24</v>
      </c>
      <c r="I218" s="4572" t="s">
        <v>903</v>
      </c>
    </row>
    <row r="219" spans="1:9" ht="11.25" customHeight="1">
      <c r="A219" s="4572" t="s">
        <v>2309</v>
      </c>
      <c r="B219" s="4572" t="s">
        <v>14</v>
      </c>
      <c r="C219" s="4572" t="s">
        <v>2488</v>
      </c>
      <c r="D219" s="4572" t="s">
        <v>2489</v>
      </c>
      <c r="E219" s="4572" t="s">
        <v>2490</v>
      </c>
      <c r="F219" s="4572" t="s">
        <v>2491</v>
      </c>
      <c r="G219" s="4572" t="s">
        <v>24</v>
      </c>
      <c r="H219" s="4572" t="s">
        <v>24</v>
      </c>
      <c r="I219" s="4572" t="s">
        <v>903</v>
      </c>
    </row>
    <row r="220" spans="1:9" ht="11.25" customHeight="1">
      <c r="A220" s="4572" t="s">
        <v>2309</v>
      </c>
      <c r="B220" s="4572" t="s">
        <v>14</v>
      </c>
      <c r="C220" s="4572" t="s">
        <v>2802</v>
      </c>
      <c r="D220" s="4572" t="s">
        <v>2803</v>
      </c>
      <c r="E220" s="4572" t="s">
        <v>2804</v>
      </c>
      <c r="F220" s="4572" t="s">
        <v>2361</v>
      </c>
      <c r="G220" s="4572" t="s">
        <v>24</v>
      </c>
      <c r="H220" s="4572" t="s">
        <v>24</v>
      </c>
      <c r="I220" s="4572" t="s">
        <v>903</v>
      </c>
    </row>
    <row r="221" spans="1:9" ht="11.25" customHeight="1">
      <c r="A221" s="4572" t="s">
        <v>2309</v>
      </c>
      <c r="B221" s="4572" t="s">
        <v>14</v>
      </c>
      <c r="C221" s="4572" t="s">
        <v>2805</v>
      </c>
      <c r="D221" s="4572" t="s">
        <v>45</v>
      </c>
      <c r="E221" s="4572" t="s">
        <v>48</v>
      </c>
      <c r="F221" s="4572" t="s">
        <v>50</v>
      </c>
      <c r="G221" s="4572" t="s">
        <v>24</v>
      </c>
      <c r="H221" s="4572" t="s">
        <v>24</v>
      </c>
      <c r="I221" s="4572" t="s">
        <v>903</v>
      </c>
    </row>
    <row r="222" spans="1:9" ht="11.25" customHeight="1">
      <c r="A222" s="4572" t="s">
        <v>2309</v>
      </c>
      <c r="B222" s="4572" t="s">
        <v>14</v>
      </c>
      <c r="C222" s="4572" t="s">
        <v>2806</v>
      </c>
      <c r="D222" s="4572" t="s">
        <v>2807</v>
      </c>
      <c r="E222" s="4572" t="s">
        <v>2808</v>
      </c>
      <c r="F222" s="4572" t="s">
        <v>2324</v>
      </c>
      <c r="G222" s="4572" t="s">
        <v>24</v>
      </c>
      <c r="H222" s="4572" t="s">
        <v>24</v>
      </c>
      <c r="I222" s="4572" t="s">
        <v>903</v>
      </c>
    </row>
    <row r="223" spans="1:9" ht="11.25" customHeight="1">
      <c r="A223" s="4572" t="s">
        <v>2309</v>
      </c>
      <c r="B223" s="4572" t="s">
        <v>14</v>
      </c>
      <c r="C223" s="4572" t="s">
        <v>2809</v>
      </c>
      <c r="D223" s="4572" t="s">
        <v>2810</v>
      </c>
      <c r="E223" s="4572" t="s">
        <v>2811</v>
      </c>
      <c r="F223" s="4572" t="s">
        <v>2375</v>
      </c>
      <c r="G223" s="4572" t="s">
        <v>24</v>
      </c>
      <c r="H223" s="4572" t="s">
        <v>24</v>
      </c>
      <c r="I223" s="4572" t="s">
        <v>903</v>
      </c>
    </row>
    <row r="224" spans="1:9" ht="11.25" customHeight="1">
      <c r="A224" s="4572" t="s">
        <v>2309</v>
      </c>
      <c r="B224" s="4572" t="s">
        <v>14</v>
      </c>
      <c r="C224" s="4572" t="s">
        <v>2812</v>
      </c>
      <c r="D224" s="4572" t="s">
        <v>2813</v>
      </c>
      <c r="E224" s="4572" t="s">
        <v>2814</v>
      </c>
      <c r="F224" s="4572" t="s">
        <v>2815</v>
      </c>
      <c r="G224" s="4572" t="s">
        <v>2816</v>
      </c>
      <c r="H224" s="4572" t="s">
        <v>2691</v>
      </c>
      <c r="I224" s="4572" t="s">
        <v>903</v>
      </c>
    </row>
    <row r="225" spans="1:9" ht="11.25" customHeight="1">
      <c r="A225" s="4572" t="s">
        <v>2309</v>
      </c>
      <c r="B225" s="4572" t="s">
        <v>14</v>
      </c>
      <c r="C225" s="4572" t="s">
        <v>2817</v>
      </c>
      <c r="D225" s="4572" t="s">
        <v>2813</v>
      </c>
      <c r="E225" s="4572" t="s">
        <v>2818</v>
      </c>
      <c r="F225" s="4572" t="s">
        <v>2375</v>
      </c>
      <c r="G225" s="4572" t="s">
        <v>24</v>
      </c>
      <c r="H225" s="4572" t="s">
        <v>24</v>
      </c>
      <c r="I225" s="4572" t="s">
        <v>903</v>
      </c>
    </row>
    <row r="226" spans="1:9" ht="11.25" customHeight="1">
      <c r="A226" s="4572" t="s">
        <v>2309</v>
      </c>
      <c r="B226" s="4572" t="s">
        <v>14</v>
      </c>
      <c r="C226" s="4572" t="s">
        <v>2819</v>
      </c>
      <c r="D226" s="4572" t="s">
        <v>2820</v>
      </c>
      <c r="E226" s="4572" t="s">
        <v>2821</v>
      </c>
      <c r="F226" s="4572" t="s">
        <v>2822</v>
      </c>
      <c r="G226" s="4572" t="s">
        <v>24</v>
      </c>
      <c r="H226" s="4572" t="s">
        <v>24</v>
      </c>
      <c r="I226" s="4572" t="s">
        <v>903</v>
      </c>
    </row>
    <row r="227" spans="1:9" ht="11.25" customHeight="1">
      <c r="A227" s="4572" t="s">
        <v>2309</v>
      </c>
      <c r="B227" s="4572" t="s">
        <v>14</v>
      </c>
      <c r="C227" s="4572" t="s">
        <v>2823</v>
      </c>
      <c r="D227" s="4572" t="s">
        <v>2824</v>
      </c>
      <c r="E227" s="4572" t="s">
        <v>2825</v>
      </c>
      <c r="F227" s="4572" t="s">
        <v>2361</v>
      </c>
      <c r="G227" s="4572" t="s">
        <v>24</v>
      </c>
      <c r="H227" s="4572" t="s">
        <v>24</v>
      </c>
      <c r="I227" s="4572" t="s">
        <v>903</v>
      </c>
    </row>
    <row r="228" spans="1:9" ht="11.25" customHeight="1">
      <c r="A228" s="4572" t="s">
        <v>2309</v>
      </c>
      <c r="B228" s="4572" t="s">
        <v>14</v>
      </c>
      <c r="C228" s="4572" t="s">
        <v>2512</v>
      </c>
      <c r="D228" s="4572" t="s">
        <v>2513</v>
      </c>
      <c r="E228" s="4572" t="s">
        <v>2514</v>
      </c>
      <c r="F228" s="4572" t="s">
        <v>2438</v>
      </c>
      <c r="G228" s="4572" t="s">
        <v>24</v>
      </c>
      <c r="H228" s="4572" t="s">
        <v>24</v>
      </c>
      <c r="I228" s="4572" t="s">
        <v>903</v>
      </c>
    </row>
    <row r="229" spans="1:9" ht="11.25" customHeight="1">
      <c r="A229" s="4572" t="s">
        <v>2309</v>
      </c>
      <c r="B229" s="4572" t="s">
        <v>14</v>
      </c>
      <c r="C229" s="4572" t="s">
        <v>2826</v>
      </c>
      <c r="D229" s="4572" t="s">
        <v>2827</v>
      </c>
      <c r="E229" s="4572" t="s">
        <v>2828</v>
      </c>
      <c r="F229" s="4572" t="s">
        <v>2324</v>
      </c>
      <c r="G229" s="4572" t="s">
        <v>2829</v>
      </c>
      <c r="H229" s="4572" t="s">
        <v>24</v>
      </c>
      <c r="I229" s="4572" t="s">
        <v>903</v>
      </c>
    </row>
    <row r="230" spans="1:9" ht="11.25" customHeight="1">
      <c r="A230" s="4572" t="s">
        <v>2309</v>
      </c>
      <c r="B230" s="4572" t="s">
        <v>14</v>
      </c>
      <c r="C230" s="4572" t="s">
        <v>2830</v>
      </c>
      <c r="D230" s="4572" t="s">
        <v>2831</v>
      </c>
      <c r="E230" s="4572" t="s">
        <v>2832</v>
      </c>
      <c r="F230" s="4572" t="s">
        <v>2420</v>
      </c>
      <c r="G230" s="4572" t="s">
        <v>2833</v>
      </c>
      <c r="H230" s="4572" t="s">
        <v>24</v>
      </c>
      <c r="I230" s="4572" t="s">
        <v>903</v>
      </c>
    </row>
    <row r="231" spans="1:9" ht="11.25" customHeight="1">
      <c r="A231" s="4572" t="s">
        <v>2309</v>
      </c>
      <c r="B231" s="4572" t="s">
        <v>14</v>
      </c>
      <c r="C231" s="4572" t="s">
        <v>2834</v>
      </c>
      <c r="D231" s="4572" t="s">
        <v>2835</v>
      </c>
      <c r="E231" s="4572" t="s">
        <v>2836</v>
      </c>
      <c r="F231" s="4572" t="s">
        <v>2361</v>
      </c>
      <c r="G231" s="4572" t="s">
        <v>24</v>
      </c>
      <c r="H231" s="4572" t="s">
        <v>24</v>
      </c>
      <c r="I231" s="4572" t="s">
        <v>903</v>
      </c>
    </row>
    <row r="232" spans="1:9" ht="11.25" customHeight="1">
      <c r="A232" s="4572" t="s">
        <v>2309</v>
      </c>
      <c r="B232" s="4572" t="s">
        <v>14</v>
      </c>
      <c r="C232" s="4572" t="s">
        <v>2837</v>
      </c>
      <c r="D232" s="4572" t="s">
        <v>2835</v>
      </c>
      <c r="E232" s="4572" t="s">
        <v>2838</v>
      </c>
      <c r="F232" s="4572" t="s">
        <v>2316</v>
      </c>
      <c r="G232" s="4572" t="s">
        <v>24</v>
      </c>
      <c r="H232" s="4572" t="s">
        <v>24</v>
      </c>
      <c r="I232" s="4572" t="s">
        <v>903</v>
      </c>
    </row>
    <row r="233" spans="1:9" ht="11.25" customHeight="1">
      <c r="A233" s="4572" t="s">
        <v>2309</v>
      </c>
      <c r="B233" s="4572" t="s">
        <v>14</v>
      </c>
      <c r="C233" s="4572" t="s">
        <v>2839</v>
      </c>
      <c r="D233" s="4572" t="s">
        <v>2840</v>
      </c>
      <c r="E233" s="4572" t="s">
        <v>2841</v>
      </c>
      <c r="F233" s="4572" t="s">
        <v>2361</v>
      </c>
      <c r="G233" s="4572" t="s">
        <v>24</v>
      </c>
      <c r="H233" s="4572" t="s">
        <v>24</v>
      </c>
      <c r="I233" s="4572" t="s">
        <v>903</v>
      </c>
    </row>
    <row r="234" spans="1:9" ht="11.25" customHeight="1">
      <c r="A234" s="4572" t="s">
        <v>2309</v>
      </c>
      <c r="B234" s="4572" t="s">
        <v>14</v>
      </c>
      <c r="C234" s="4572" t="s">
        <v>2526</v>
      </c>
      <c r="D234" s="4572" t="s">
        <v>2527</v>
      </c>
      <c r="E234" s="4572" t="s">
        <v>2528</v>
      </c>
      <c r="F234" s="4572" t="s">
        <v>2403</v>
      </c>
      <c r="G234" s="4572" t="s">
        <v>24</v>
      </c>
      <c r="H234" s="4572" t="s">
        <v>24</v>
      </c>
      <c r="I234" s="4572" t="s">
        <v>903</v>
      </c>
    </row>
    <row r="235" spans="1:9" ht="11.25" customHeight="1">
      <c r="A235" s="4572" t="s">
        <v>2309</v>
      </c>
      <c r="B235" s="4572" t="s">
        <v>14</v>
      </c>
      <c r="C235" s="4572" t="s">
        <v>2529</v>
      </c>
      <c r="D235" s="4572" t="s">
        <v>2530</v>
      </c>
      <c r="E235" s="4572" t="s">
        <v>2531</v>
      </c>
      <c r="F235" s="4572" t="s">
        <v>2375</v>
      </c>
      <c r="G235" s="4572" t="s">
        <v>24</v>
      </c>
      <c r="H235" s="4572" t="s">
        <v>24</v>
      </c>
      <c r="I235" s="4572" t="s">
        <v>903</v>
      </c>
    </row>
    <row r="236" spans="1:9" ht="11.25" customHeight="1">
      <c r="A236" s="4572" t="s">
        <v>2309</v>
      </c>
      <c r="B236" s="4572" t="s">
        <v>14</v>
      </c>
      <c r="C236" s="4572" t="s">
        <v>2532</v>
      </c>
      <c r="D236" s="4572" t="s">
        <v>2533</v>
      </c>
      <c r="E236" s="4572" t="s">
        <v>2534</v>
      </c>
      <c r="F236" s="4572" t="s">
        <v>2324</v>
      </c>
      <c r="G236" s="4572" t="s">
        <v>2535</v>
      </c>
      <c r="H236" s="4572" t="s">
        <v>24</v>
      </c>
      <c r="I236" s="4572" t="s">
        <v>903</v>
      </c>
    </row>
    <row r="237" spans="1:9" ht="11.25" customHeight="1">
      <c r="A237" s="4572" t="s">
        <v>2309</v>
      </c>
      <c r="B237" s="4572" t="s">
        <v>14</v>
      </c>
      <c r="C237" s="4572" t="s">
        <v>2536</v>
      </c>
      <c r="D237" s="4572" t="s">
        <v>2537</v>
      </c>
      <c r="E237" s="4572" t="s">
        <v>2538</v>
      </c>
      <c r="F237" s="4572" t="s">
        <v>2420</v>
      </c>
      <c r="G237" s="4572" t="s">
        <v>2539</v>
      </c>
      <c r="H237" s="4572" t="s">
        <v>24</v>
      </c>
      <c r="I237" s="4572" t="s">
        <v>903</v>
      </c>
    </row>
    <row r="238" spans="1:9" ht="11.25" customHeight="1">
      <c r="A238" s="4572" t="s">
        <v>2309</v>
      </c>
      <c r="B238" s="4572" t="s">
        <v>14</v>
      </c>
      <c r="C238" s="4572" t="s">
        <v>2540</v>
      </c>
      <c r="D238" s="4572" t="s">
        <v>2541</v>
      </c>
      <c r="E238" s="4572" t="s">
        <v>2542</v>
      </c>
      <c r="F238" s="4572" t="s">
        <v>2395</v>
      </c>
      <c r="G238" s="4572" t="s">
        <v>2543</v>
      </c>
      <c r="H238" s="4572" t="s">
        <v>24</v>
      </c>
      <c r="I238" s="4572" t="s">
        <v>903</v>
      </c>
    </row>
    <row r="239" spans="1:9" ht="11.25" customHeight="1">
      <c r="A239" s="4572" t="s">
        <v>2309</v>
      </c>
      <c r="B239" s="4572" t="s">
        <v>14</v>
      </c>
      <c r="C239" s="4572" t="s">
        <v>2544</v>
      </c>
      <c r="D239" s="4572" t="s">
        <v>2541</v>
      </c>
      <c r="E239" s="4572" t="s">
        <v>2545</v>
      </c>
      <c r="F239" s="4572" t="s">
        <v>50</v>
      </c>
      <c r="G239" s="4572" t="s">
        <v>24</v>
      </c>
      <c r="H239" s="4572" t="s">
        <v>24</v>
      </c>
      <c r="I239" s="4572" t="s">
        <v>903</v>
      </c>
    </row>
    <row r="240" spans="1:9" ht="11.25" customHeight="1">
      <c r="A240" s="4572" t="s">
        <v>2309</v>
      </c>
      <c r="B240" s="4572" t="s">
        <v>14</v>
      </c>
      <c r="C240" s="4572" t="s">
        <v>2842</v>
      </c>
      <c r="D240" s="4572" t="s">
        <v>2843</v>
      </c>
      <c r="E240" s="4572" t="s">
        <v>2844</v>
      </c>
      <c r="F240" s="4572" t="s">
        <v>2375</v>
      </c>
      <c r="G240" s="4572" t="s">
        <v>24</v>
      </c>
      <c r="H240" s="4572" t="s">
        <v>24</v>
      </c>
      <c r="I240" s="4572" t="s">
        <v>903</v>
      </c>
    </row>
    <row r="241" spans="1:9" ht="11.25" customHeight="1">
      <c r="A241" s="4572" t="s">
        <v>2309</v>
      </c>
      <c r="B241" s="4572" t="s">
        <v>14</v>
      </c>
      <c r="C241" s="4572" t="s">
        <v>2845</v>
      </c>
      <c r="D241" s="4572" t="s">
        <v>2846</v>
      </c>
      <c r="E241" s="4572" t="s">
        <v>2847</v>
      </c>
      <c r="F241" s="4572" t="s">
        <v>2403</v>
      </c>
      <c r="G241" s="4572" t="s">
        <v>2848</v>
      </c>
      <c r="H241" s="4572" t="s">
        <v>24</v>
      </c>
      <c r="I241" s="4572" t="s">
        <v>903</v>
      </c>
    </row>
    <row r="242" spans="1:9" ht="11.25" customHeight="1">
      <c r="A242" s="4572" t="s">
        <v>2309</v>
      </c>
      <c r="B242" s="4572" t="s">
        <v>14</v>
      </c>
      <c r="C242" s="4572" t="s">
        <v>2554</v>
      </c>
      <c r="D242" s="4572" t="s">
        <v>2555</v>
      </c>
      <c r="E242" s="4572" t="s">
        <v>2556</v>
      </c>
      <c r="F242" s="4572" t="s">
        <v>2324</v>
      </c>
      <c r="G242" s="4572" t="s">
        <v>24</v>
      </c>
      <c r="H242" s="4572" t="s">
        <v>24</v>
      </c>
      <c r="I242" s="4572" t="s">
        <v>903</v>
      </c>
    </row>
    <row r="243" spans="1:9" ht="11.25" customHeight="1">
      <c r="A243" s="4572" t="s">
        <v>2309</v>
      </c>
      <c r="B243" s="4572" t="s">
        <v>14</v>
      </c>
      <c r="C243" s="4572" t="s">
        <v>2849</v>
      </c>
      <c r="D243" s="4572" t="s">
        <v>2850</v>
      </c>
      <c r="E243" s="4572" t="s">
        <v>2851</v>
      </c>
      <c r="F243" s="4572" t="s">
        <v>2336</v>
      </c>
      <c r="G243" s="4572" t="s">
        <v>24</v>
      </c>
      <c r="H243" s="4572" t="s">
        <v>24</v>
      </c>
      <c r="I243" s="4572" t="s">
        <v>903</v>
      </c>
    </row>
    <row r="244" spans="1:9" ht="11.25" customHeight="1">
      <c r="A244" s="4572" t="s">
        <v>2309</v>
      </c>
      <c r="B244" s="4572" t="s">
        <v>14</v>
      </c>
      <c r="C244" s="4572" t="s">
        <v>2852</v>
      </c>
      <c r="D244" s="4572" t="s">
        <v>2853</v>
      </c>
      <c r="E244" s="4572" t="s">
        <v>2854</v>
      </c>
      <c r="F244" s="4572" t="s">
        <v>2361</v>
      </c>
      <c r="G244" s="4572" t="s">
        <v>24</v>
      </c>
      <c r="H244" s="4572" t="s">
        <v>24</v>
      </c>
      <c r="I244" s="4572" t="s">
        <v>903</v>
      </c>
    </row>
    <row r="245" spans="1:9" ht="11.25" customHeight="1">
      <c r="A245" s="4572" t="s">
        <v>2309</v>
      </c>
      <c r="B245" s="4572" t="s">
        <v>14</v>
      </c>
      <c r="C245" s="4572" t="s">
        <v>2855</v>
      </c>
      <c r="D245" s="4572" t="s">
        <v>2856</v>
      </c>
      <c r="E245" s="4572" t="s">
        <v>2857</v>
      </c>
      <c r="F245" s="4572" t="s">
        <v>2858</v>
      </c>
      <c r="G245" s="4572" t="s">
        <v>24</v>
      </c>
      <c r="H245" s="4572" t="s">
        <v>24</v>
      </c>
      <c r="I245" s="4572" t="s">
        <v>903</v>
      </c>
    </row>
    <row r="246" spans="1:9" ht="11.25" customHeight="1">
      <c r="A246" s="4572" t="s">
        <v>2309</v>
      </c>
      <c r="B246" s="4572" t="s">
        <v>14</v>
      </c>
      <c r="C246" s="4572" t="s">
        <v>2859</v>
      </c>
      <c r="D246" s="4572" t="s">
        <v>2860</v>
      </c>
      <c r="E246" s="4572" t="s">
        <v>2861</v>
      </c>
      <c r="F246" s="4572" t="s">
        <v>2375</v>
      </c>
      <c r="G246" s="4572" t="s">
        <v>2862</v>
      </c>
      <c r="H246" s="4572" t="s">
        <v>24</v>
      </c>
      <c r="I246" s="4572" t="s">
        <v>903</v>
      </c>
    </row>
    <row r="247" spans="1:9" ht="11.25" customHeight="1">
      <c r="A247" s="4572" t="s">
        <v>2309</v>
      </c>
      <c r="B247" s="4572" t="s">
        <v>14</v>
      </c>
      <c r="C247" s="4572" t="s">
        <v>2863</v>
      </c>
      <c r="D247" s="4572" t="s">
        <v>2864</v>
      </c>
      <c r="E247" s="4572" t="s">
        <v>2865</v>
      </c>
      <c r="F247" s="4572" t="s">
        <v>2549</v>
      </c>
      <c r="G247" s="4572" t="s">
        <v>24</v>
      </c>
      <c r="H247" s="4572" t="s">
        <v>24</v>
      </c>
      <c r="I247" s="4572" t="s">
        <v>903</v>
      </c>
    </row>
    <row r="248" spans="1:9" ht="11.25" customHeight="1">
      <c r="A248" s="4572" t="s">
        <v>2309</v>
      </c>
      <c r="B248" s="4572" t="s">
        <v>14</v>
      </c>
      <c r="C248" s="4572" t="s">
        <v>2866</v>
      </c>
      <c r="D248" s="4572" t="s">
        <v>2867</v>
      </c>
      <c r="E248" s="4572" t="s">
        <v>2868</v>
      </c>
      <c r="F248" s="4572" t="s">
        <v>2403</v>
      </c>
      <c r="G248" s="4572" t="s">
        <v>2869</v>
      </c>
      <c r="H248" s="4572" t="s">
        <v>24</v>
      </c>
      <c r="I248" s="4572" t="s">
        <v>903</v>
      </c>
    </row>
    <row r="249" spans="1:9" ht="11.25" customHeight="1">
      <c r="A249" s="4572" t="s">
        <v>2309</v>
      </c>
      <c r="B249" s="4572" t="s">
        <v>14</v>
      </c>
      <c r="C249" s="4572" t="s">
        <v>2870</v>
      </c>
      <c r="D249" s="4572" t="s">
        <v>2871</v>
      </c>
      <c r="E249" s="4572" t="s">
        <v>2872</v>
      </c>
      <c r="F249" s="4572" t="s">
        <v>2324</v>
      </c>
      <c r="G249" s="4572" t="s">
        <v>24</v>
      </c>
      <c r="H249" s="4572" t="s">
        <v>24</v>
      </c>
      <c r="I249" s="4572" t="s">
        <v>903</v>
      </c>
    </row>
    <row r="250" spans="1:9" ht="11.25" customHeight="1">
      <c r="A250" s="4572" t="s">
        <v>2309</v>
      </c>
      <c r="B250" s="4572" t="s">
        <v>14</v>
      </c>
      <c r="C250" s="4572" t="s">
        <v>2873</v>
      </c>
      <c r="D250" s="4572" t="s">
        <v>2874</v>
      </c>
      <c r="E250" s="4572" t="s">
        <v>2875</v>
      </c>
      <c r="F250" s="4572" t="s">
        <v>2324</v>
      </c>
      <c r="G250" s="4572" t="s">
        <v>24</v>
      </c>
      <c r="H250" s="4572" t="s">
        <v>24</v>
      </c>
      <c r="I250" s="4572" t="s">
        <v>903</v>
      </c>
    </row>
    <row r="251" spans="1:9" ht="11.25" customHeight="1">
      <c r="A251" s="4572" t="s">
        <v>2309</v>
      </c>
      <c r="B251" s="4572" t="s">
        <v>14</v>
      </c>
      <c r="C251" s="4572" t="s">
        <v>2560</v>
      </c>
      <c r="D251" s="4572" t="s">
        <v>2561</v>
      </c>
      <c r="E251" s="4572" t="s">
        <v>2562</v>
      </c>
      <c r="F251" s="4572" t="s">
        <v>2438</v>
      </c>
      <c r="G251" s="4572" t="s">
        <v>24</v>
      </c>
      <c r="H251" s="4572" t="s">
        <v>24</v>
      </c>
      <c r="I251" s="4572" t="s">
        <v>903</v>
      </c>
    </row>
    <row r="252" spans="1:9" ht="11.25" customHeight="1">
      <c r="A252" s="4572" t="s">
        <v>2309</v>
      </c>
      <c r="B252" s="4572" t="s">
        <v>14</v>
      </c>
      <c r="C252" s="4572" t="s">
        <v>2876</v>
      </c>
      <c r="D252" s="4572" t="s">
        <v>2877</v>
      </c>
      <c r="E252" s="4572" t="s">
        <v>2878</v>
      </c>
      <c r="F252" s="4572" t="s">
        <v>2324</v>
      </c>
      <c r="G252" s="4572" t="s">
        <v>24</v>
      </c>
      <c r="H252" s="4572" t="s">
        <v>24</v>
      </c>
      <c r="I252" s="4572" t="s">
        <v>903</v>
      </c>
    </row>
    <row r="253" spans="1:9" ht="11.25" customHeight="1">
      <c r="A253" s="4572" t="s">
        <v>2309</v>
      </c>
      <c r="B253" s="4572" t="s">
        <v>14</v>
      </c>
      <c r="C253" s="4572" t="s">
        <v>2879</v>
      </c>
      <c r="D253" s="4572" t="s">
        <v>2880</v>
      </c>
      <c r="E253" s="4572" t="s">
        <v>2881</v>
      </c>
      <c r="F253" s="4572" t="s">
        <v>2361</v>
      </c>
      <c r="G253" s="4572" t="s">
        <v>2882</v>
      </c>
      <c r="H253" s="4572" t="s">
        <v>24</v>
      </c>
      <c r="I253" s="4572" t="s">
        <v>903</v>
      </c>
    </row>
    <row r="254" spans="1:9" ht="11.25" customHeight="1">
      <c r="A254" s="4572" t="s">
        <v>2309</v>
      </c>
      <c r="B254" s="4572" t="s">
        <v>14</v>
      </c>
      <c r="C254" s="4572" t="s">
        <v>2883</v>
      </c>
      <c r="D254" s="4572" t="s">
        <v>2884</v>
      </c>
      <c r="E254" s="4572" t="s">
        <v>2885</v>
      </c>
      <c r="F254" s="4572" t="s">
        <v>2324</v>
      </c>
      <c r="G254" s="4572" t="s">
        <v>24</v>
      </c>
      <c r="H254" s="4572" t="s">
        <v>24</v>
      </c>
      <c r="I254" s="4572" t="s">
        <v>903</v>
      </c>
    </row>
    <row r="255" spans="1:9" ht="11.25" customHeight="1">
      <c r="A255" s="4572" t="s">
        <v>2309</v>
      </c>
      <c r="B255" s="4572" t="s">
        <v>14</v>
      </c>
      <c r="C255" s="4572" t="s">
        <v>2886</v>
      </c>
      <c r="D255" s="4572" t="s">
        <v>2887</v>
      </c>
      <c r="E255" s="4572" t="s">
        <v>2888</v>
      </c>
      <c r="F255" s="4572" t="s">
        <v>2549</v>
      </c>
      <c r="G255" s="4572" t="s">
        <v>24</v>
      </c>
      <c r="H255" s="4572" t="s">
        <v>24</v>
      </c>
      <c r="I255" s="4572" t="s">
        <v>903</v>
      </c>
    </row>
    <row r="256" spans="1:9" ht="11.25" customHeight="1">
      <c r="A256" s="4572" t="s">
        <v>2309</v>
      </c>
      <c r="B256" s="4572" t="s">
        <v>14</v>
      </c>
      <c r="C256" s="4572" t="s">
        <v>2889</v>
      </c>
      <c r="D256" s="4572" t="s">
        <v>2890</v>
      </c>
      <c r="E256" s="4572" t="s">
        <v>2891</v>
      </c>
      <c r="F256" s="4572" t="s">
        <v>2395</v>
      </c>
      <c r="G256" s="4572" t="s">
        <v>24</v>
      </c>
      <c r="H256" s="4572" t="s">
        <v>24</v>
      </c>
      <c r="I256" s="4572" t="s">
        <v>903</v>
      </c>
    </row>
    <row r="257" spans="1:9" ht="11.25" customHeight="1">
      <c r="A257" s="4572" t="s">
        <v>2309</v>
      </c>
      <c r="B257" s="4572" t="s">
        <v>14</v>
      </c>
      <c r="C257" s="4572" t="s">
        <v>2892</v>
      </c>
      <c r="D257" s="4572" t="s">
        <v>2893</v>
      </c>
      <c r="E257" s="4572" t="s">
        <v>2894</v>
      </c>
      <c r="F257" s="4572" t="s">
        <v>2395</v>
      </c>
      <c r="G257" s="4572" t="s">
        <v>24</v>
      </c>
      <c r="H257" s="4572" t="s">
        <v>24</v>
      </c>
      <c r="I257" s="4572" t="s">
        <v>903</v>
      </c>
    </row>
    <row r="258" spans="1:9" ht="11.25" customHeight="1">
      <c r="A258" s="4572" t="s">
        <v>2309</v>
      </c>
      <c r="B258" s="4572" t="s">
        <v>14</v>
      </c>
      <c r="C258" s="4572" t="s">
        <v>2895</v>
      </c>
      <c r="D258" s="4572" t="s">
        <v>2896</v>
      </c>
      <c r="E258" s="4572" t="s">
        <v>2897</v>
      </c>
      <c r="F258" s="4572" t="s">
        <v>2361</v>
      </c>
      <c r="G258" s="4572" t="s">
        <v>24</v>
      </c>
      <c r="H258" s="4572" t="s">
        <v>24</v>
      </c>
      <c r="I258" s="4572" t="s">
        <v>903</v>
      </c>
    </row>
    <row r="259" spans="1:9" ht="11.25" customHeight="1">
      <c r="A259" s="4572" t="s">
        <v>2309</v>
      </c>
      <c r="B259" s="4572" t="s">
        <v>14</v>
      </c>
      <c r="C259" s="4572" t="s">
        <v>2898</v>
      </c>
      <c r="D259" s="4572" t="s">
        <v>2899</v>
      </c>
      <c r="E259" s="4572" t="s">
        <v>2900</v>
      </c>
      <c r="F259" s="4572" t="s">
        <v>2399</v>
      </c>
      <c r="G259" s="4572" t="s">
        <v>2901</v>
      </c>
      <c r="H259" s="4572" t="s">
        <v>24</v>
      </c>
      <c r="I259" s="4572" t="s">
        <v>903</v>
      </c>
    </row>
    <row r="260" spans="1:9" ht="11.25" customHeight="1">
      <c r="A260" s="4572" t="s">
        <v>2309</v>
      </c>
      <c r="B260" s="4572" t="s">
        <v>14</v>
      </c>
      <c r="C260" s="4572" t="s">
        <v>2902</v>
      </c>
      <c r="D260" s="4572" t="s">
        <v>2903</v>
      </c>
      <c r="E260" s="4572" t="s">
        <v>2904</v>
      </c>
      <c r="F260" s="4572" t="s">
        <v>2316</v>
      </c>
      <c r="G260" s="4572" t="s">
        <v>24</v>
      </c>
      <c r="H260" s="4572" t="s">
        <v>24</v>
      </c>
      <c r="I260" s="4572" t="s">
        <v>903</v>
      </c>
    </row>
    <row r="261" spans="1:9" ht="11.25" customHeight="1">
      <c r="A261" s="4572" t="s">
        <v>2309</v>
      </c>
      <c r="B261" s="4572" t="s">
        <v>14</v>
      </c>
      <c r="C261" s="4572" t="s">
        <v>2905</v>
      </c>
      <c r="D261" s="4572" t="s">
        <v>2906</v>
      </c>
      <c r="E261" s="4572" t="s">
        <v>2907</v>
      </c>
      <c r="F261" s="4572" t="s">
        <v>2403</v>
      </c>
      <c r="G261" s="4572" t="s">
        <v>2908</v>
      </c>
      <c r="H261" s="4572" t="s">
        <v>24</v>
      </c>
      <c r="I261" s="4572" t="s">
        <v>903</v>
      </c>
    </row>
    <row r="262" spans="1:9" ht="11.25" customHeight="1">
      <c r="A262" s="4572" t="s">
        <v>2309</v>
      </c>
      <c r="B262" s="4572" t="s">
        <v>14</v>
      </c>
      <c r="C262" s="4572" t="s">
        <v>2909</v>
      </c>
      <c r="D262" s="4572" t="s">
        <v>2910</v>
      </c>
      <c r="E262" s="4572" t="s">
        <v>2911</v>
      </c>
      <c r="F262" s="4572" t="s">
        <v>2361</v>
      </c>
      <c r="G262" s="4572" t="s">
        <v>2912</v>
      </c>
      <c r="H262" s="4572" t="s">
        <v>24</v>
      </c>
      <c r="I262" s="4572" t="s">
        <v>903</v>
      </c>
    </row>
    <row r="263" spans="1:9" ht="11.25" customHeight="1">
      <c r="A263" s="4572" t="s">
        <v>2309</v>
      </c>
      <c r="B263" s="4572" t="s">
        <v>14</v>
      </c>
      <c r="C263" s="4572" t="s">
        <v>2581</v>
      </c>
      <c r="D263" s="4572" t="s">
        <v>2582</v>
      </c>
      <c r="E263" s="4572" t="s">
        <v>2583</v>
      </c>
      <c r="F263" s="4572" t="s">
        <v>2549</v>
      </c>
      <c r="G263" s="4572" t="s">
        <v>24</v>
      </c>
      <c r="H263" s="4572" t="s">
        <v>24</v>
      </c>
      <c r="I263" s="4572" t="s">
        <v>903</v>
      </c>
    </row>
    <row r="264" spans="1:9" ht="11.25" customHeight="1">
      <c r="A264" s="4572" t="s">
        <v>2309</v>
      </c>
      <c r="B264" s="4572" t="s">
        <v>14</v>
      </c>
      <c r="C264" s="4572" t="s">
        <v>2913</v>
      </c>
      <c r="D264" s="4572" t="s">
        <v>2914</v>
      </c>
      <c r="E264" s="4572" t="s">
        <v>2915</v>
      </c>
      <c r="F264" s="4572" t="s">
        <v>2316</v>
      </c>
      <c r="G264" s="4572" t="s">
        <v>24</v>
      </c>
      <c r="H264" s="4572" t="s">
        <v>2550</v>
      </c>
      <c r="I264" s="4572" t="s">
        <v>903</v>
      </c>
    </row>
    <row r="265" spans="1:9" ht="11.25" customHeight="1">
      <c r="A265" s="4572" t="s">
        <v>2309</v>
      </c>
      <c r="B265" s="4572" t="s">
        <v>14</v>
      </c>
      <c r="C265" s="4572" t="s">
        <v>2916</v>
      </c>
      <c r="D265" s="4572" t="s">
        <v>2917</v>
      </c>
      <c r="E265" s="4572" t="s">
        <v>2918</v>
      </c>
      <c r="F265" s="4572" t="s">
        <v>2919</v>
      </c>
      <c r="G265" s="4572" t="s">
        <v>2920</v>
      </c>
      <c r="H265" s="4572" t="s">
        <v>24</v>
      </c>
      <c r="I265" s="4572" t="s">
        <v>903</v>
      </c>
    </row>
    <row r="266" spans="1:9" ht="11.25" customHeight="1">
      <c r="A266" s="4572" t="s">
        <v>2309</v>
      </c>
      <c r="B266" s="4572" t="s">
        <v>14</v>
      </c>
      <c r="C266" s="4572" t="s">
        <v>2921</v>
      </c>
      <c r="D266" s="4572" t="s">
        <v>2922</v>
      </c>
      <c r="E266" s="4572" t="s">
        <v>2923</v>
      </c>
      <c r="F266" s="4572" t="s">
        <v>2375</v>
      </c>
      <c r="G266" s="4572" t="s">
        <v>24</v>
      </c>
      <c r="H266" s="4572" t="s">
        <v>24</v>
      </c>
      <c r="I266" s="4572" t="s">
        <v>903</v>
      </c>
    </row>
    <row r="267" spans="1:9" ht="11.25" customHeight="1">
      <c r="A267" s="4572" t="s">
        <v>2309</v>
      </c>
      <c r="B267" s="4572" t="s">
        <v>14</v>
      </c>
      <c r="C267" s="4572" t="s">
        <v>2924</v>
      </c>
      <c r="D267" s="4572" t="s">
        <v>2925</v>
      </c>
      <c r="E267" s="4572" t="s">
        <v>2926</v>
      </c>
      <c r="F267" s="4572" t="s">
        <v>2361</v>
      </c>
      <c r="G267" s="4572" t="s">
        <v>2927</v>
      </c>
      <c r="H267" s="4572" t="s">
        <v>24</v>
      </c>
      <c r="I267" s="4572" t="s">
        <v>903</v>
      </c>
    </row>
    <row r="268" spans="1:9" ht="11.25" customHeight="1">
      <c r="A268" s="4572" t="s">
        <v>2309</v>
      </c>
      <c r="B268" s="4572" t="s">
        <v>14</v>
      </c>
      <c r="C268" s="4572" t="s">
        <v>2928</v>
      </c>
      <c r="D268" s="4572" t="s">
        <v>2929</v>
      </c>
      <c r="E268" s="4572" t="s">
        <v>2930</v>
      </c>
      <c r="F268" s="4572" t="s">
        <v>2324</v>
      </c>
      <c r="G268" s="4572" t="s">
        <v>24</v>
      </c>
      <c r="H268" s="4572" t="s">
        <v>24</v>
      </c>
      <c r="I268" s="4572" t="s">
        <v>903</v>
      </c>
    </row>
    <row r="269" spans="1:9" ht="11.25" customHeight="1">
      <c r="A269" s="4572" t="s">
        <v>2309</v>
      </c>
      <c r="B269" s="4572" t="s">
        <v>14</v>
      </c>
      <c r="C269" s="4572" t="s">
        <v>2931</v>
      </c>
      <c r="D269" s="4572" t="s">
        <v>2932</v>
      </c>
      <c r="E269" s="4572" t="s">
        <v>2933</v>
      </c>
      <c r="F269" s="4572" t="s">
        <v>2336</v>
      </c>
      <c r="G269" s="4572" t="s">
        <v>2934</v>
      </c>
      <c r="H269" s="4572" t="s">
        <v>24</v>
      </c>
      <c r="I269" s="4572" t="s">
        <v>903</v>
      </c>
    </row>
    <row r="270" spans="1:9" ht="11.25" customHeight="1">
      <c r="A270" s="4572" t="s">
        <v>2309</v>
      </c>
      <c r="B270" s="4572" t="s">
        <v>14</v>
      </c>
      <c r="C270" s="4572" t="s">
        <v>2935</v>
      </c>
      <c r="D270" s="4572" t="s">
        <v>2936</v>
      </c>
      <c r="E270" s="4572" t="s">
        <v>2937</v>
      </c>
      <c r="F270" s="4572" t="s">
        <v>2938</v>
      </c>
      <c r="G270" s="4572" t="s">
        <v>2939</v>
      </c>
      <c r="H270" s="4572" t="s">
        <v>24</v>
      </c>
      <c r="I270" s="4572" t="s">
        <v>903</v>
      </c>
    </row>
    <row r="271" spans="1:9" ht="11.25" customHeight="1">
      <c r="A271" s="4572" t="s">
        <v>2309</v>
      </c>
      <c r="B271" s="4572" t="s">
        <v>14</v>
      </c>
      <c r="C271" s="4572" t="s">
        <v>2940</v>
      </c>
      <c r="D271" s="4572" t="s">
        <v>2941</v>
      </c>
      <c r="E271" s="4572" t="s">
        <v>2942</v>
      </c>
      <c r="F271" s="4572" t="s">
        <v>2943</v>
      </c>
      <c r="G271" s="4572" t="s">
        <v>24</v>
      </c>
      <c r="H271" s="4572" t="s">
        <v>24</v>
      </c>
      <c r="I271" s="4572" t="s">
        <v>903</v>
      </c>
    </row>
    <row r="272" spans="1:9" ht="11.25" customHeight="1">
      <c r="A272" s="4572" t="s">
        <v>2309</v>
      </c>
      <c r="B272" s="4572" t="s">
        <v>14</v>
      </c>
      <c r="C272" s="4572" t="s">
        <v>2944</v>
      </c>
      <c r="D272" s="4572" t="s">
        <v>2945</v>
      </c>
      <c r="E272" s="4572" t="s">
        <v>2946</v>
      </c>
      <c r="F272" s="4572" t="s">
        <v>2943</v>
      </c>
      <c r="G272" s="4572" t="s">
        <v>24</v>
      </c>
      <c r="H272" s="4572" t="s">
        <v>24</v>
      </c>
      <c r="I272" s="4572" t="s">
        <v>903</v>
      </c>
    </row>
    <row r="273" spans="1:9" ht="11.25" customHeight="1">
      <c r="A273" s="4572" t="s">
        <v>2309</v>
      </c>
      <c r="B273" s="4572" t="s">
        <v>14</v>
      </c>
      <c r="C273" s="4572" t="s">
        <v>2947</v>
      </c>
      <c r="D273" s="4572" t="s">
        <v>2948</v>
      </c>
      <c r="E273" s="4572" t="s">
        <v>2949</v>
      </c>
      <c r="F273" s="4572" t="s">
        <v>2347</v>
      </c>
      <c r="G273" s="4572" t="s">
        <v>24</v>
      </c>
      <c r="H273" s="4572" t="s">
        <v>24</v>
      </c>
      <c r="I273" s="4572" t="s">
        <v>903</v>
      </c>
    </row>
    <row r="274" spans="1:9" ht="11.25" customHeight="1">
      <c r="A274" s="4572" t="s">
        <v>2309</v>
      </c>
      <c r="B274" s="4572" t="s">
        <v>14</v>
      </c>
      <c r="C274" s="4572" t="s">
        <v>2950</v>
      </c>
      <c r="D274" s="4572" t="s">
        <v>2951</v>
      </c>
      <c r="E274" s="4572" t="s">
        <v>2952</v>
      </c>
      <c r="F274" s="4572" t="s">
        <v>2953</v>
      </c>
      <c r="G274" s="4572" t="s">
        <v>2954</v>
      </c>
      <c r="H274" s="4572" t="s">
        <v>24</v>
      </c>
      <c r="I274" s="4572" t="s">
        <v>903</v>
      </c>
    </row>
    <row r="275" spans="1:9" ht="11.25" customHeight="1">
      <c r="A275" s="4572" t="s">
        <v>2309</v>
      </c>
      <c r="B275" s="4572" t="s">
        <v>14</v>
      </c>
      <c r="C275" s="4572" t="s">
        <v>2955</v>
      </c>
      <c r="D275" s="4572" t="s">
        <v>2956</v>
      </c>
      <c r="E275" s="4572" t="s">
        <v>2957</v>
      </c>
      <c r="F275" s="4572" t="s">
        <v>2357</v>
      </c>
      <c r="G275" s="4572" t="s">
        <v>24</v>
      </c>
      <c r="H275" s="4572" t="s">
        <v>24</v>
      </c>
      <c r="I275" s="4572" t="s">
        <v>903</v>
      </c>
    </row>
    <row r="276" spans="1:9" ht="11.25" customHeight="1">
      <c r="A276" s="4572" t="s">
        <v>2309</v>
      </c>
      <c r="B276" s="4572" t="s">
        <v>14</v>
      </c>
      <c r="C276" s="4572" t="s">
        <v>2958</v>
      </c>
      <c r="D276" s="4572" t="s">
        <v>2959</v>
      </c>
      <c r="E276" s="4572" t="s">
        <v>2960</v>
      </c>
      <c r="F276" s="4572" t="s">
        <v>2420</v>
      </c>
      <c r="G276" s="4572" t="s">
        <v>24</v>
      </c>
      <c r="H276" s="4572" t="s">
        <v>24</v>
      </c>
      <c r="I276" s="4572" t="s">
        <v>903</v>
      </c>
    </row>
    <row r="277" spans="1:9" ht="11.25" customHeight="1">
      <c r="A277" s="4572" t="s">
        <v>2309</v>
      </c>
      <c r="B277" s="4572" t="s">
        <v>14</v>
      </c>
      <c r="C277" s="4572" t="s">
        <v>2961</v>
      </c>
      <c r="D277" s="4572" t="s">
        <v>2962</v>
      </c>
      <c r="E277" s="4572" t="s">
        <v>2963</v>
      </c>
      <c r="F277" s="4572" t="s">
        <v>2316</v>
      </c>
      <c r="G277" s="4572" t="s">
        <v>24</v>
      </c>
      <c r="H277" s="4572" t="s">
        <v>24</v>
      </c>
      <c r="I277" s="4572" t="s">
        <v>903</v>
      </c>
    </row>
    <row r="278" spans="1:9" ht="11.25" customHeight="1">
      <c r="A278" s="4572" t="s">
        <v>2309</v>
      </c>
      <c r="B278" s="4572" t="s">
        <v>14</v>
      </c>
      <c r="C278" s="4572" t="s">
        <v>2964</v>
      </c>
      <c r="D278" s="4572" t="s">
        <v>2965</v>
      </c>
      <c r="E278" s="4572" t="s">
        <v>2966</v>
      </c>
      <c r="F278" s="4572" t="s">
        <v>2316</v>
      </c>
      <c r="G278" s="4572" t="s">
        <v>24</v>
      </c>
      <c r="H278" s="4572" t="s">
        <v>24</v>
      </c>
      <c r="I278" s="4572" t="s">
        <v>903</v>
      </c>
    </row>
    <row r="279" spans="1:9" ht="11.25" customHeight="1">
      <c r="A279" s="4572" t="s">
        <v>2309</v>
      </c>
      <c r="B279" s="4572" t="s">
        <v>14</v>
      </c>
      <c r="C279" s="4572" t="s">
        <v>2967</v>
      </c>
      <c r="D279" s="4572" t="s">
        <v>2968</v>
      </c>
      <c r="E279" s="4572" t="s">
        <v>2969</v>
      </c>
      <c r="F279" s="4572" t="s">
        <v>2361</v>
      </c>
      <c r="G279" s="4572" t="s">
        <v>24</v>
      </c>
      <c r="H279" s="4572" t="s">
        <v>24</v>
      </c>
      <c r="I279" s="4572" t="s">
        <v>903</v>
      </c>
    </row>
    <row r="280" spans="1:9" ht="11.25" customHeight="1">
      <c r="A280" s="4572" t="s">
        <v>2309</v>
      </c>
      <c r="B280" s="4572" t="s">
        <v>14</v>
      </c>
      <c r="C280" s="4572" t="s">
        <v>2970</v>
      </c>
      <c r="D280" s="4572" t="s">
        <v>2971</v>
      </c>
      <c r="E280" s="4572" t="s">
        <v>2972</v>
      </c>
      <c r="F280" s="4572" t="s">
        <v>2313</v>
      </c>
      <c r="G280" s="4572" t="s">
        <v>24</v>
      </c>
      <c r="H280" s="4572" t="s">
        <v>24</v>
      </c>
      <c r="I280" s="4572" t="s">
        <v>903</v>
      </c>
    </row>
    <row r="281" spans="1:9" ht="11.25" customHeight="1">
      <c r="A281" s="4572" t="s">
        <v>2309</v>
      </c>
      <c r="B281" s="4572" t="s">
        <v>14</v>
      </c>
      <c r="C281" s="4572" t="s">
        <v>2631</v>
      </c>
      <c r="D281" s="4572" t="s">
        <v>2632</v>
      </c>
      <c r="E281" s="4572" t="s">
        <v>2633</v>
      </c>
      <c r="F281" s="4572" t="s">
        <v>2634</v>
      </c>
      <c r="G281" s="4572" t="s">
        <v>24</v>
      </c>
      <c r="H281" s="4572" t="s">
        <v>24</v>
      </c>
      <c r="I281" s="4572" t="s">
        <v>903</v>
      </c>
    </row>
    <row r="282" spans="1:9" ht="11.25" customHeight="1">
      <c r="A282" s="4572" t="s">
        <v>2309</v>
      </c>
      <c r="B282" s="4572" t="s">
        <v>14</v>
      </c>
      <c r="C282" s="4572" t="s">
        <v>2635</v>
      </c>
      <c r="D282" s="4572" t="s">
        <v>2636</v>
      </c>
      <c r="E282" s="4572" t="s">
        <v>2625</v>
      </c>
      <c r="F282" s="4572" t="s">
        <v>2637</v>
      </c>
      <c r="G282" s="4572" t="s">
        <v>24</v>
      </c>
      <c r="H282" s="4572" t="s">
        <v>24</v>
      </c>
      <c r="I282" s="4572" t="s">
        <v>903</v>
      </c>
    </row>
    <row r="283" spans="1:9" ht="11.25" customHeight="1">
      <c r="A283" s="4572" t="s">
        <v>2309</v>
      </c>
      <c r="B283" s="4572" t="s">
        <v>14</v>
      </c>
      <c r="C283" s="4572" t="s">
        <v>2310</v>
      </c>
      <c r="D283" s="4572" t="s">
        <v>2311</v>
      </c>
      <c r="E283" s="4572" t="s">
        <v>2312</v>
      </c>
      <c r="F283" s="4572" t="s">
        <v>2313</v>
      </c>
      <c r="G283" s="4572" t="s">
        <v>24</v>
      </c>
      <c r="H283" s="4572" t="s">
        <v>24</v>
      </c>
      <c r="I283" s="4572" t="s">
        <v>955</v>
      </c>
    </row>
    <row r="284" spans="1:9" ht="11.25" customHeight="1">
      <c r="A284" s="4572" t="s">
        <v>2309</v>
      </c>
      <c r="B284" s="4572" t="s">
        <v>14</v>
      </c>
      <c r="C284" s="4572" t="s">
        <v>24</v>
      </c>
      <c r="D284" s="4572" t="s">
        <v>2314</v>
      </c>
      <c r="E284" s="4572" t="s">
        <v>2315</v>
      </c>
      <c r="F284" s="4572" t="s">
        <v>2316</v>
      </c>
      <c r="G284" s="4572" t="s">
        <v>24</v>
      </c>
      <c r="H284" s="4572" t="s">
        <v>24</v>
      </c>
      <c r="I284" s="4572" t="s">
        <v>955</v>
      </c>
    </row>
    <row r="285" spans="1:9" ht="11.25" customHeight="1">
      <c r="A285" s="4572" t="s">
        <v>2309</v>
      </c>
      <c r="B285" s="4572" t="s">
        <v>14</v>
      </c>
      <c r="C285" s="4572" t="s">
        <v>2325</v>
      </c>
      <c r="D285" s="4572" t="s">
        <v>2326</v>
      </c>
      <c r="E285" s="4572" t="s">
        <v>2327</v>
      </c>
      <c r="F285" s="4572" t="s">
        <v>2328</v>
      </c>
      <c r="G285" s="4572" t="s">
        <v>24</v>
      </c>
      <c r="H285" s="4572" t="s">
        <v>24</v>
      </c>
      <c r="I285" s="4572" t="s">
        <v>955</v>
      </c>
    </row>
    <row r="286" spans="1:9" ht="11.25" customHeight="1">
      <c r="A286" s="4572" t="s">
        <v>2309</v>
      </c>
      <c r="B286" s="4572" t="s">
        <v>14</v>
      </c>
      <c r="C286" s="4572" t="s">
        <v>2329</v>
      </c>
      <c r="D286" s="4572" t="s">
        <v>2330</v>
      </c>
      <c r="E286" s="4572" t="s">
        <v>2331</v>
      </c>
      <c r="F286" s="4572" t="s">
        <v>2332</v>
      </c>
      <c r="G286" s="4572" t="s">
        <v>24</v>
      </c>
      <c r="H286" s="4572" t="s">
        <v>24</v>
      </c>
      <c r="I286" s="4572" t="s">
        <v>955</v>
      </c>
    </row>
    <row r="287" spans="1:9" ht="11.25" customHeight="1">
      <c r="A287" s="4572" t="s">
        <v>2309</v>
      </c>
      <c r="B287" s="4572" t="s">
        <v>14</v>
      </c>
      <c r="C287" s="4572" t="s">
        <v>2337</v>
      </c>
      <c r="D287" s="4572" t="s">
        <v>2338</v>
      </c>
      <c r="E287" s="4572" t="s">
        <v>2339</v>
      </c>
      <c r="F287" s="4572" t="s">
        <v>2336</v>
      </c>
      <c r="G287" s="4572" t="s">
        <v>24</v>
      </c>
      <c r="H287" s="4572" t="s">
        <v>24</v>
      </c>
      <c r="I287" s="4572" t="s">
        <v>955</v>
      </c>
    </row>
    <row r="288" spans="1:9" ht="11.25" customHeight="1">
      <c r="A288" s="4572" t="s">
        <v>2309</v>
      </c>
      <c r="B288" s="4572" t="s">
        <v>14</v>
      </c>
      <c r="C288" s="4572" t="s">
        <v>2973</v>
      </c>
      <c r="D288" s="4572" t="s">
        <v>2974</v>
      </c>
      <c r="E288" s="4572" t="s">
        <v>2975</v>
      </c>
      <c r="F288" s="4572" t="s">
        <v>2316</v>
      </c>
      <c r="G288" s="4572" t="s">
        <v>24</v>
      </c>
      <c r="H288" s="4572" t="s">
        <v>24</v>
      </c>
      <c r="I288" s="4572" t="s">
        <v>955</v>
      </c>
    </row>
    <row r="289" spans="1:9" ht="11.25" customHeight="1">
      <c r="A289" s="4572" t="s">
        <v>2309</v>
      </c>
      <c r="B289" s="4572" t="s">
        <v>14</v>
      </c>
      <c r="C289" s="4572" t="s">
        <v>2340</v>
      </c>
      <c r="D289" s="4572" t="s">
        <v>2341</v>
      </c>
      <c r="E289" s="4572" t="s">
        <v>2342</v>
      </c>
      <c r="F289" s="4572" t="s">
        <v>2343</v>
      </c>
      <c r="G289" s="4572" t="s">
        <v>24</v>
      </c>
      <c r="H289" s="4572" t="s">
        <v>24</v>
      </c>
      <c r="I289" s="4572" t="s">
        <v>955</v>
      </c>
    </row>
    <row r="290" spans="1:9" ht="11.25" customHeight="1">
      <c r="A290" s="4572" t="s">
        <v>2309</v>
      </c>
      <c r="B290" s="4572" t="s">
        <v>14</v>
      </c>
      <c r="C290" s="4572" t="s">
        <v>2642</v>
      </c>
      <c r="D290" s="4572" t="s">
        <v>2643</v>
      </c>
      <c r="E290" s="4572" t="s">
        <v>2644</v>
      </c>
      <c r="F290" s="4572" t="s">
        <v>2316</v>
      </c>
      <c r="G290" s="4572" t="s">
        <v>2645</v>
      </c>
      <c r="H290" s="4572" t="s">
        <v>24</v>
      </c>
      <c r="I290" s="4572" t="s">
        <v>955</v>
      </c>
    </row>
    <row r="291" spans="1:9" ht="11.25" customHeight="1">
      <c r="A291" s="4572" t="s">
        <v>2309</v>
      </c>
      <c r="B291" s="4572" t="s">
        <v>14</v>
      </c>
      <c r="C291" s="4572" t="s">
        <v>2348</v>
      </c>
      <c r="D291" s="4572" t="s">
        <v>2349</v>
      </c>
      <c r="E291" s="4572" t="s">
        <v>2350</v>
      </c>
      <c r="F291" s="4572" t="s">
        <v>2316</v>
      </c>
      <c r="G291" s="4572" t="s">
        <v>24</v>
      </c>
      <c r="H291" s="4572" t="s">
        <v>24</v>
      </c>
      <c r="I291" s="4572" t="s">
        <v>955</v>
      </c>
    </row>
    <row r="292" spans="1:9" ht="11.25" customHeight="1">
      <c r="A292" s="4572" t="s">
        <v>2309</v>
      </c>
      <c r="B292" s="4572" t="s">
        <v>14</v>
      </c>
      <c r="C292" s="4572" t="s">
        <v>2354</v>
      </c>
      <c r="D292" s="4572" t="s">
        <v>2355</v>
      </c>
      <c r="E292" s="4572" t="s">
        <v>2356</v>
      </c>
      <c r="F292" s="4572" t="s">
        <v>2357</v>
      </c>
      <c r="G292" s="4572" t="s">
        <v>24</v>
      </c>
      <c r="H292" s="4572" t="s">
        <v>24</v>
      </c>
      <c r="I292" s="4572" t="s">
        <v>955</v>
      </c>
    </row>
    <row r="293" spans="1:9" ht="11.25" customHeight="1">
      <c r="A293" s="4572" t="s">
        <v>2309</v>
      </c>
      <c r="B293" s="4572" t="s">
        <v>14</v>
      </c>
      <c r="C293" s="4572" t="s">
        <v>2358</v>
      </c>
      <c r="D293" s="4572" t="s">
        <v>2359</v>
      </c>
      <c r="E293" s="4572" t="s">
        <v>2360</v>
      </c>
      <c r="F293" s="4572" t="s">
        <v>2361</v>
      </c>
      <c r="G293" s="4572" t="s">
        <v>24</v>
      </c>
      <c r="H293" s="4572" t="s">
        <v>24</v>
      </c>
      <c r="I293" s="4572" t="s">
        <v>955</v>
      </c>
    </row>
    <row r="294" spans="1:9" ht="11.25" customHeight="1">
      <c r="A294" s="4572" t="s">
        <v>2309</v>
      </c>
      <c r="B294" s="4572" t="s">
        <v>14</v>
      </c>
      <c r="C294" s="4572" t="s">
        <v>2655</v>
      </c>
      <c r="D294" s="4572" t="s">
        <v>2656</v>
      </c>
      <c r="E294" s="4572" t="s">
        <v>2657</v>
      </c>
      <c r="F294" s="4572" t="s">
        <v>710</v>
      </c>
      <c r="G294" s="4572" t="s">
        <v>2658</v>
      </c>
      <c r="H294" s="4572" t="s">
        <v>24</v>
      </c>
      <c r="I294" s="4572" t="s">
        <v>955</v>
      </c>
    </row>
    <row r="295" spans="1:9" ht="11.25" customHeight="1">
      <c r="A295" s="4572" t="s">
        <v>2309</v>
      </c>
      <c r="B295" s="4572" t="s">
        <v>14</v>
      </c>
      <c r="C295" s="4572" t="s">
        <v>2662</v>
      </c>
      <c r="D295" s="4572" t="s">
        <v>2663</v>
      </c>
      <c r="E295" s="4572" t="s">
        <v>2664</v>
      </c>
      <c r="F295" s="4572" t="s">
        <v>2438</v>
      </c>
      <c r="G295" s="4572" t="s">
        <v>2665</v>
      </c>
      <c r="H295" s="4572" t="s">
        <v>24</v>
      </c>
      <c r="I295" s="4572" t="s">
        <v>955</v>
      </c>
    </row>
    <row r="296" spans="1:9" ht="11.25" customHeight="1">
      <c r="A296" s="4572" t="s">
        <v>2309</v>
      </c>
      <c r="B296" s="4572" t="s">
        <v>14</v>
      </c>
      <c r="C296" s="4572" t="s">
        <v>2381</v>
      </c>
      <c r="D296" s="4572" t="s">
        <v>2382</v>
      </c>
      <c r="E296" s="4572" t="s">
        <v>2383</v>
      </c>
      <c r="F296" s="4572" t="s">
        <v>2384</v>
      </c>
      <c r="G296" s="4572" t="s">
        <v>24</v>
      </c>
      <c r="H296" s="4572" t="s">
        <v>24</v>
      </c>
      <c r="I296" s="4572" t="s">
        <v>955</v>
      </c>
    </row>
    <row r="297" spans="1:9" ht="11.25" customHeight="1">
      <c r="A297" s="4572" t="s">
        <v>2309</v>
      </c>
      <c r="B297" s="4572" t="s">
        <v>14</v>
      </c>
      <c r="C297" s="4572" t="s">
        <v>2385</v>
      </c>
      <c r="D297" s="4572" t="s">
        <v>2386</v>
      </c>
      <c r="E297" s="4572" t="s">
        <v>2387</v>
      </c>
      <c r="F297" s="4572" t="s">
        <v>2388</v>
      </c>
      <c r="G297" s="4572" t="s">
        <v>24</v>
      </c>
      <c r="H297" s="4572" t="s">
        <v>24</v>
      </c>
      <c r="I297" s="4572" t="s">
        <v>955</v>
      </c>
    </row>
    <row r="298" spans="1:9" ht="11.25" customHeight="1">
      <c r="A298" s="4572" t="s">
        <v>2309</v>
      </c>
      <c r="B298" s="4572" t="s">
        <v>14</v>
      </c>
      <c r="C298" s="4572" t="s">
        <v>2389</v>
      </c>
      <c r="D298" s="4572" t="s">
        <v>2390</v>
      </c>
      <c r="E298" s="4572" t="s">
        <v>2387</v>
      </c>
      <c r="F298" s="4572" t="s">
        <v>2391</v>
      </c>
      <c r="G298" s="4572" t="s">
        <v>24</v>
      </c>
      <c r="H298" s="4572" t="s">
        <v>24</v>
      </c>
      <c r="I298" s="4572" t="s">
        <v>955</v>
      </c>
    </row>
    <row r="299" spans="1:9" ht="11.25" customHeight="1">
      <c r="A299" s="4572" t="s">
        <v>2309</v>
      </c>
      <c r="B299" s="4572" t="s">
        <v>14</v>
      </c>
      <c r="C299" s="4572" t="s">
        <v>2400</v>
      </c>
      <c r="D299" s="4572" t="s">
        <v>2401</v>
      </c>
      <c r="E299" s="4572" t="s">
        <v>2402</v>
      </c>
      <c r="F299" s="4572" t="s">
        <v>2403</v>
      </c>
      <c r="G299" s="4572" t="s">
        <v>24</v>
      </c>
      <c r="H299" s="4572" t="s">
        <v>24</v>
      </c>
      <c r="I299" s="4572" t="s">
        <v>955</v>
      </c>
    </row>
    <row r="300" spans="1:9" ht="11.25" customHeight="1">
      <c r="A300" s="4572" t="s">
        <v>2309</v>
      </c>
      <c r="B300" s="4572" t="s">
        <v>14</v>
      </c>
      <c r="C300" s="4572" t="s">
        <v>2404</v>
      </c>
      <c r="D300" s="4572" t="s">
        <v>2405</v>
      </c>
      <c r="E300" s="4572" t="s">
        <v>2406</v>
      </c>
      <c r="F300" s="4572" t="s">
        <v>2395</v>
      </c>
      <c r="G300" s="4572" t="s">
        <v>24</v>
      </c>
      <c r="H300" s="4572" t="s">
        <v>24</v>
      </c>
      <c r="I300" s="4572" t="s">
        <v>955</v>
      </c>
    </row>
    <row r="301" spans="1:9" ht="11.25" customHeight="1">
      <c r="A301" s="4572" t="s">
        <v>2309</v>
      </c>
      <c r="B301" s="4572" t="s">
        <v>14</v>
      </c>
      <c r="C301" s="4572" t="s">
        <v>2672</v>
      </c>
      <c r="D301" s="4572" t="s">
        <v>2673</v>
      </c>
      <c r="E301" s="4572" t="s">
        <v>2674</v>
      </c>
      <c r="F301" s="4572" t="s">
        <v>2361</v>
      </c>
      <c r="G301" s="4572" t="s">
        <v>24</v>
      </c>
      <c r="H301" s="4572" t="s">
        <v>24</v>
      </c>
      <c r="I301" s="4572" t="s">
        <v>955</v>
      </c>
    </row>
    <row r="302" spans="1:9" ht="11.25" customHeight="1">
      <c r="A302" s="4572" t="s">
        <v>2309</v>
      </c>
      <c r="B302" s="4572" t="s">
        <v>14</v>
      </c>
      <c r="C302" s="4572" t="s">
        <v>2678</v>
      </c>
      <c r="D302" s="4572" t="s">
        <v>2679</v>
      </c>
      <c r="E302" s="4572" t="s">
        <v>2680</v>
      </c>
      <c r="F302" s="4572" t="s">
        <v>2361</v>
      </c>
      <c r="G302" s="4572" t="s">
        <v>24</v>
      </c>
      <c r="H302" s="4572" t="s">
        <v>24</v>
      </c>
      <c r="I302" s="4572" t="s">
        <v>955</v>
      </c>
    </row>
    <row r="303" spans="1:9" ht="11.25" customHeight="1">
      <c r="A303" s="4572" t="s">
        <v>2309</v>
      </c>
      <c r="B303" s="4572" t="s">
        <v>14</v>
      </c>
      <c r="C303" s="4572" t="s">
        <v>2413</v>
      </c>
      <c r="D303" s="4572" t="s">
        <v>2414</v>
      </c>
      <c r="E303" s="4572" t="s">
        <v>2415</v>
      </c>
      <c r="F303" s="4572" t="s">
        <v>2380</v>
      </c>
      <c r="G303" s="4572" t="s">
        <v>2416</v>
      </c>
      <c r="H303" s="4572" t="s">
        <v>24</v>
      </c>
      <c r="I303" s="4572" t="s">
        <v>955</v>
      </c>
    </row>
    <row r="304" spans="1:9" ht="11.25" customHeight="1">
      <c r="A304" s="4572" t="s">
        <v>2309</v>
      </c>
      <c r="B304" s="4572" t="s">
        <v>14</v>
      </c>
      <c r="C304" s="4572" t="s">
        <v>2417</v>
      </c>
      <c r="D304" s="4572" t="s">
        <v>2418</v>
      </c>
      <c r="E304" s="4572" t="s">
        <v>2419</v>
      </c>
      <c r="F304" s="4572" t="s">
        <v>2420</v>
      </c>
      <c r="G304" s="4572" t="s">
        <v>2421</v>
      </c>
      <c r="H304" s="4572" t="s">
        <v>24</v>
      </c>
      <c r="I304" s="4572" t="s">
        <v>955</v>
      </c>
    </row>
    <row r="305" spans="1:9" ht="11.25" customHeight="1">
      <c r="A305" s="4572" t="s">
        <v>2309</v>
      </c>
      <c r="B305" s="4572" t="s">
        <v>14</v>
      </c>
      <c r="C305" s="4572" t="s">
        <v>2692</v>
      </c>
      <c r="D305" s="4572" t="s">
        <v>2693</v>
      </c>
      <c r="E305" s="4572" t="s">
        <v>2694</v>
      </c>
      <c r="F305" s="4572" t="s">
        <v>2403</v>
      </c>
      <c r="G305" s="4572" t="s">
        <v>24</v>
      </c>
      <c r="H305" s="4572" t="s">
        <v>24</v>
      </c>
      <c r="I305" s="4572" t="s">
        <v>955</v>
      </c>
    </row>
    <row r="306" spans="1:9" ht="11.25" customHeight="1">
      <c r="A306" s="4572" t="s">
        <v>2309</v>
      </c>
      <c r="B306" s="4572" t="s">
        <v>14</v>
      </c>
      <c r="C306" s="4572" t="s">
        <v>2695</v>
      </c>
      <c r="D306" s="4572" t="s">
        <v>2696</v>
      </c>
      <c r="E306" s="4572" t="s">
        <v>2697</v>
      </c>
      <c r="F306" s="4572" t="s">
        <v>2403</v>
      </c>
      <c r="G306" s="4572" t="s">
        <v>2698</v>
      </c>
      <c r="H306" s="4572" t="s">
        <v>24</v>
      </c>
      <c r="I306" s="4572" t="s">
        <v>955</v>
      </c>
    </row>
    <row r="307" spans="1:9" ht="11.25" customHeight="1">
      <c r="A307" s="4572" t="s">
        <v>2309</v>
      </c>
      <c r="B307" s="4572" t="s">
        <v>14</v>
      </c>
      <c r="C307" s="4572" t="s">
        <v>2699</v>
      </c>
      <c r="D307" s="4572" t="s">
        <v>2700</v>
      </c>
      <c r="E307" s="4572" t="s">
        <v>2701</v>
      </c>
      <c r="F307" s="4572" t="s">
        <v>2403</v>
      </c>
      <c r="G307" s="4572" t="s">
        <v>24</v>
      </c>
      <c r="H307" s="4572" t="s">
        <v>24</v>
      </c>
      <c r="I307" s="4572" t="s">
        <v>955</v>
      </c>
    </row>
    <row r="308" spans="1:9" ht="11.25" customHeight="1">
      <c r="A308" s="4572" t="s">
        <v>2309</v>
      </c>
      <c r="B308" s="4572" t="s">
        <v>14</v>
      </c>
      <c r="C308" s="4572" t="s">
        <v>2702</v>
      </c>
      <c r="D308" s="4572" t="s">
        <v>2700</v>
      </c>
      <c r="E308" s="4572" t="s">
        <v>2703</v>
      </c>
      <c r="F308" s="4572" t="s">
        <v>2361</v>
      </c>
      <c r="G308" s="4572" t="s">
        <v>24</v>
      </c>
      <c r="H308" s="4572" t="s">
        <v>24</v>
      </c>
      <c r="I308" s="4572" t="s">
        <v>955</v>
      </c>
    </row>
    <row r="309" spans="1:9" ht="11.25" customHeight="1">
      <c r="A309" s="4572" t="s">
        <v>2309</v>
      </c>
      <c r="B309" s="4572" t="s">
        <v>14</v>
      </c>
      <c r="C309" s="4572" t="s">
        <v>2440</v>
      </c>
      <c r="D309" s="4572" t="s">
        <v>2441</v>
      </c>
      <c r="E309" s="4572" t="s">
        <v>2442</v>
      </c>
      <c r="F309" s="4572" t="s">
        <v>2438</v>
      </c>
      <c r="G309" s="4572" t="s">
        <v>24</v>
      </c>
      <c r="H309" s="4572" t="s">
        <v>24</v>
      </c>
      <c r="I309" s="4572" t="s">
        <v>955</v>
      </c>
    </row>
    <row r="310" spans="1:9" ht="11.25" customHeight="1">
      <c r="A310" s="4572" t="s">
        <v>2309</v>
      </c>
      <c r="B310" s="4572" t="s">
        <v>14</v>
      </c>
      <c r="C310" s="4572" t="s">
        <v>2715</v>
      </c>
      <c r="D310" s="4572" t="s">
        <v>2716</v>
      </c>
      <c r="E310" s="4572" t="s">
        <v>2717</v>
      </c>
      <c r="F310" s="4572" t="s">
        <v>2403</v>
      </c>
      <c r="G310" s="4572" t="s">
        <v>24</v>
      </c>
      <c r="H310" s="4572" t="s">
        <v>24</v>
      </c>
      <c r="I310" s="4572" t="s">
        <v>955</v>
      </c>
    </row>
    <row r="311" spans="1:9" ht="11.25" customHeight="1">
      <c r="A311" s="4572" t="s">
        <v>2309</v>
      </c>
      <c r="B311" s="4572" t="s">
        <v>14</v>
      </c>
      <c r="C311" s="4572" t="s">
        <v>2731</v>
      </c>
      <c r="D311" s="4572" t="s">
        <v>2732</v>
      </c>
      <c r="E311" s="4572" t="s">
        <v>2733</v>
      </c>
      <c r="F311" s="4572" t="s">
        <v>2403</v>
      </c>
      <c r="G311" s="4572" t="s">
        <v>24</v>
      </c>
      <c r="H311" s="4572" t="s">
        <v>24</v>
      </c>
      <c r="I311" s="4572" t="s">
        <v>955</v>
      </c>
    </row>
    <row r="312" spans="1:9" ht="11.25" customHeight="1">
      <c r="A312" s="4572" t="s">
        <v>2309</v>
      </c>
      <c r="B312" s="4572" t="s">
        <v>14</v>
      </c>
      <c r="C312" s="4572" t="s">
        <v>2745</v>
      </c>
      <c r="D312" s="4572" t="s">
        <v>2746</v>
      </c>
      <c r="E312" s="4572" t="s">
        <v>2747</v>
      </c>
      <c r="F312" s="4572" t="s">
        <v>2361</v>
      </c>
      <c r="G312" s="4572" t="s">
        <v>24</v>
      </c>
      <c r="H312" s="4572" t="s">
        <v>24</v>
      </c>
      <c r="I312" s="4572" t="s">
        <v>955</v>
      </c>
    </row>
    <row r="313" spans="1:9" ht="11.25" customHeight="1">
      <c r="A313" s="4572" t="s">
        <v>2309</v>
      </c>
      <c r="B313" s="4572" t="s">
        <v>14</v>
      </c>
      <c r="C313" s="4572" t="s">
        <v>2463</v>
      </c>
      <c r="D313" s="4572" t="s">
        <v>2464</v>
      </c>
      <c r="E313" s="4572" t="s">
        <v>2465</v>
      </c>
      <c r="F313" s="4572" t="s">
        <v>2361</v>
      </c>
      <c r="G313" s="4572" t="s">
        <v>24</v>
      </c>
      <c r="H313" s="4572" t="s">
        <v>24</v>
      </c>
      <c r="I313" s="4572" t="s">
        <v>955</v>
      </c>
    </row>
    <row r="314" spans="1:9" ht="11.25" customHeight="1">
      <c r="A314" s="4572" t="s">
        <v>2309</v>
      </c>
      <c r="B314" s="4572" t="s">
        <v>14</v>
      </c>
      <c r="C314" s="4572" t="s">
        <v>2766</v>
      </c>
      <c r="D314" s="4572" t="s">
        <v>2767</v>
      </c>
      <c r="E314" s="4572" t="s">
        <v>2768</v>
      </c>
      <c r="F314" s="4572" t="s">
        <v>2324</v>
      </c>
      <c r="G314" s="4572" t="s">
        <v>24</v>
      </c>
      <c r="H314" s="4572" t="s">
        <v>24</v>
      </c>
      <c r="I314" s="4572" t="s">
        <v>955</v>
      </c>
    </row>
    <row r="315" spans="1:9" ht="11.25" customHeight="1">
      <c r="A315" s="4572" t="s">
        <v>2309</v>
      </c>
      <c r="B315" s="4572" t="s">
        <v>14</v>
      </c>
      <c r="C315" s="4572" t="s">
        <v>2769</v>
      </c>
      <c r="D315" s="4572" t="s">
        <v>2770</v>
      </c>
      <c r="E315" s="4572" t="s">
        <v>2771</v>
      </c>
      <c r="F315" s="4572" t="s">
        <v>2403</v>
      </c>
      <c r="G315" s="4572" t="s">
        <v>24</v>
      </c>
      <c r="H315" s="4572" t="s">
        <v>24</v>
      </c>
      <c r="I315" s="4572" t="s">
        <v>955</v>
      </c>
    </row>
    <row r="316" spans="1:9" ht="11.25" customHeight="1">
      <c r="A316" s="4572" t="s">
        <v>2309</v>
      </c>
      <c r="B316" s="4572" t="s">
        <v>14</v>
      </c>
      <c r="C316" s="4572" t="s">
        <v>2772</v>
      </c>
      <c r="D316" s="4572" t="s">
        <v>2773</v>
      </c>
      <c r="E316" s="4572" t="s">
        <v>2774</v>
      </c>
      <c r="F316" s="4572" t="s">
        <v>2395</v>
      </c>
      <c r="G316" s="4572" t="s">
        <v>2775</v>
      </c>
      <c r="H316" s="4572" t="s">
        <v>24</v>
      </c>
      <c r="I316" s="4572" t="s">
        <v>955</v>
      </c>
    </row>
    <row r="317" spans="1:9" ht="11.25" customHeight="1">
      <c r="A317" s="4572" t="s">
        <v>2309</v>
      </c>
      <c r="B317" s="4572" t="s">
        <v>14</v>
      </c>
      <c r="C317" s="4572" t="s">
        <v>2789</v>
      </c>
      <c r="D317" s="4572" t="s">
        <v>2790</v>
      </c>
      <c r="E317" s="4572" t="s">
        <v>2791</v>
      </c>
      <c r="F317" s="4572" t="s">
        <v>2347</v>
      </c>
      <c r="G317" s="4572" t="s">
        <v>24</v>
      </c>
      <c r="H317" s="4572" t="s">
        <v>24</v>
      </c>
      <c r="I317" s="4572" t="s">
        <v>955</v>
      </c>
    </row>
    <row r="318" spans="1:9" ht="11.25" customHeight="1">
      <c r="A318" s="4572" t="s">
        <v>2309</v>
      </c>
      <c r="B318" s="4572" t="s">
        <v>14</v>
      </c>
      <c r="C318" s="4572" t="s">
        <v>2469</v>
      </c>
      <c r="D318" s="4572" t="s">
        <v>2470</v>
      </c>
      <c r="E318" s="4572" t="s">
        <v>2471</v>
      </c>
      <c r="F318" s="4572" t="s">
        <v>2420</v>
      </c>
      <c r="G318" s="4572" t="s">
        <v>24</v>
      </c>
      <c r="H318" s="4572" t="s">
        <v>24</v>
      </c>
      <c r="I318" s="4572" t="s">
        <v>955</v>
      </c>
    </row>
    <row r="319" spans="1:9" ht="11.25" customHeight="1">
      <c r="A319" s="4572" t="s">
        <v>2309</v>
      </c>
      <c r="B319" s="4572" t="s">
        <v>14</v>
      </c>
      <c r="C319" s="4572" t="s">
        <v>2481</v>
      </c>
      <c r="D319" s="4572" t="s">
        <v>2482</v>
      </c>
      <c r="E319" s="4572" t="s">
        <v>2483</v>
      </c>
      <c r="F319" s="4572" t="s">
        <v>2420</v>
      </c>
      <c r="G319" s="4572" t="s">
        <v>2484</v>
      </c>
      <c r="H319" s="4572" t="s">
        <v>24</v>
      </c>
      <c r="I319" s="4572" t="s">
        <v>955</v>
      </c>
    </row>
    <row r="320" spans="1:9" ht="11.25" customHeight="1">
      <c r="A320" s="4572" t="s">
        <v>2309</v>
      </c>
      <c r="B320" s="4572" t="s">
        <v>14</v>
      </c>
      <c r="C320" s="4572" t="s">
        <v>2802</v>
      </c>
      <c r="D320" s="4572" t="s">
        <v>2803</v>
      </c>
      <c r="E320" s="4572" t="s">
        <v>2804</v>
      </c>
      <c r="F320" s="4572" t="s">
        <v>2361</v>
      </c>
      <c r="G320" s="4572" t="s">
        <v>24</v>
      </c>
      <c r="H320" s="4572" t="s">
        <v>24</v>
      </c>
      <c r="I320" s="4572" t="s">
        <v>955</v>
      </c>
    </row>
    <row r="321" spans="1:9" ht="11.25" customHeight="1">
      <c r="A321" s="4572" t="s">
        <v>2309</v>
      </c>
      <c r="B321" s="4572" t="s">
        <v>14</v>
      </c>
      <c r="C321" s="4572" t="s">
        <v>2805</v>
      </c>
      <c r="D321" s="4572" t="s">
        <v>45</v>
      </c>
      <c r="E321" s="4572" t="s">
        <v>48</v>
      </c>
      <c r="F321" s="4572" t="s">
        <v>50</v>
      </c>
      <c r="G321" s="4572" t="s">
        <v>24</v>
      </c>
      <c r="H321" s="4572" t="s">
        <v>24</v>
      </c>
      <c r="I321" s="4572" t="s">
        <v>955</v>
      </c>
    </row>
    <row r="322" spans="1:9" ht="11.25" customHeight="1">
      <c r="A322" s="4572" t="s">
        <v>2309</v>
      </c>
      <c r="B322" s="4572" t="s">
        <v>14</v>
      </c>
      <c r="C322" s="4572" t="s">
        <v>2806</v>
      </c>
      <c r="D322" s="4572" t="s">
        <v>2807</v>
      </c>
      <c r="E322" s="4572" t="s">
        <v>2808</v>
      </c>
      <c r="F322" s="4572" t="s">
        <v>2324</v>
      </c>
      <c r="G322" s="4572" t="s">
        <v>24</v>
      </c>
      <c r="H322" s="4572" t="s">
        <v>24</v>
      </c>
      <c r="I322" s="4572" t="s">
        <v>955</v>
      </c>
    </row>
    <row r="323" spans="1:9" ht="11.25" customHeight="1">
      <c r="A323" s="4572" t="s">
        <v>2309</v>
      </c>
      <c r="B323" s="4572" t="s">
        <v>14</v>
      </c>
      <c r="C323" s="4572" t="s">
        <v>2809</v>
      </c>
      <c r="D323" s="4572" t="s">
        <v>2810</v>
      </c>
      <c r="E323" s="4572" t="s">
        <v>2811</v>
      </c>
      <c r="F323" s="4572" t="s">
        <v>2375</v>
      </c>
      <c r="G323" s="4572" t="s">
        <v>24</v>
      </c>
      <c r="H323" s="4572" t="s">
        <v>24</v>
      </c>
      <c r="I323" s="4572" t="s">
        <v>955</v>
      </c>
    </row>
    <row r="324" spans="1:9" ht="11.25" customHeight="1">
      <c r="A324" s="4572" t="s">
        <v>2309</v>
      </c>
      <c r="B324" s="4572" t="s">
        <v>14</v>
      </c>
      <c r="C324" s="4572" t="s">
        <v>2512</v>
      </c>
      <c r="D324" s="4572" t="s">
        <v>2513</v>
      </c>
      <c r="E324" s="4572" t="s">
        <v>2514</v>
      </c>
      <c r="F324" s="4572" t="s">
        <v>2438</v>
      </c>
      <c r="G324" s="4572" t="s">
        <v>24</v>
      </c>
      <c r="H324" s="4572" t="s">
        <v>24</v>
      </c>
      <c r="I324" s="4572" t="s">
        <v>955</v>
      </c>
    </row>
    <row r="325" spans="1:9" ht="11.25" customHeight="1">
      <c r="A325" s="4572" t="s">
        <v>2309</v>
      </c>
      <c r="B325" s="4572" t="s">
        <v>14</v>
      </c>
      <c r="C325" s="4572" t="s">
        <v>2976</v>
      </c>
      <c r="D325" s="4572" t="s">
        <v>2977</v>
      </c>
      <c r="E325" s="4572" t="s">
        <v>2978</v>
      </c>
      <c r="F325" s="4572" t="s">
        <v>2549</v>
      </c>
      <c r="G325" s="4572" t="s">
        <v>24</v>
      </c>
      <c r="H325" s="4572" t="s">
        <v>24</v>
      </c>
      <c r="I325" s="4572" t="s">
        <v>955</v>
      </c>
    </row>
    <row r="326" spans="1:9" ht="11.25" customHeight="1">
      <c r="A326" s="4572" t="s">
        <v>2309</v>
      </c>
      <c r="B326" s="4572" t="s">
        <v>14</v>
      </c>
      <c r="C326" s="4572" t="s">
        <v>2826</v>
      </c>
      <c r="D326" s="4572" t="s">
        <v>2827</v>
      </c>
      <c r="E326" s="4572" t="s">
        <v>2828</v>
      </c>
      <c r="F326" s="4572" t="s">
        <v>2324</v>
      </c>
      <c r="G326" s="4572" t="s">
        <v>2829</v>
      </c>
      <c r="H326" s="4572" t="s">
        <v>24</v>
      </c>
      <c r="I326" s="4572" t="s">
        <v>955</v>
      </c>
    </row>
    <row r="327" spans="1:9" ht="11.25" customHeight="1">
      <c r="A327" s="4572" t="s">
        <v>2309</v>
      </c>
      <c r="B327" s="4572" t="s">
        <v>14</v>
      </c>
      <c r="C327" s="4572" t="s">
        <v>2979</v>
      </c>
      <c r="D327" s="4572" t="s">
        <v>2980</v>
      </c>
      <c r="E327" s="4572" t="s">
        <v>2981</v>
      </c>
      <c r="F327" s="4572" t="s">
        <v>2324</v>
      </c>
      <c r="G327" s="4572" t="s">
        <v>24</v>
      </c>
      <c r="H327" s="4572" t="s">
        <v>24</v>
      </c>
      <c r="I327" s="4572" t="s">
        <v>955</v>
      </c>
    </row>
    <row r="328" spans="1:9" ht="11.25" customHeight="1">
      <c r="A328" s="4572" t="s">
        <v>2309</v>
      </c>
      <c r="B328" s="4572" t="s">
        <v>14</v>
      </c>
      <c r="C328" s="4572" t="s">
        <v>2834</v>
      </c>
      <c r="D328" s="4572" t="s">
        <v>2835</v>
      </c>
      <c r="E328" s="4572" t="s">
        <v>2836</v>
      </c>
      <c r="F328" s="4572" t="s">
        <v>2361</v>
      </c>
      <c r="G328" s="4572" t="s">
        <v>24</v>
      </c>
      <c r="H328" s="4572" t="s">
        <v>24</v>
      </c>
      <c r="I328" s="4572" t="s">
        <v>955</v>
      </c>
    </row>
    <row r="329" spans="1:9" ht="11.25" customHeight="1">
      <c r="A329" s="4572" t="s">
        <v>2309</v>
      </c>
      <c r="B329" s="4572" t="s">
        <v>14</v>
      </c>
      <c r="C329" s="4572" t="s">
        <v>2837</v>
      </c>
      <c r="D329" s="4572" t="s">
        <v>2835</v>
      </c>
      <c r="E329" s="4572" t="s">
        <v>2838</v>
      </c>
      <c r="F329" s="4572" t="s">
        <v>2316</v>
      </c>
      <c r="G329" s="4572" t="s">
        <v>24</v>
      </c>
      <c r="H329" s="4572" t="s">
        <v>24</v>
      </c>
      <c r="I329" s="4572" t="s">
        <v>955</v>
      </c>
    </row>
    <row r="330" spans="1:9" ht="11.25" customHeight="1">
      <c r="A330" s="4572" t="s">
        <v>2309</v>
      </c>
      <c r="B330" s="4572" t="s">
        <v>14</v>
      </c>
      <c r="C330" s="4572" t="s">
        <v>2839</v>
      </c>
      <c r="D330" s="4572" t="s">
        <v>2840</v>
      </c>
      <c r="E330" s="4572" t="s">
        <v>2841</v>
      </c>
      <c r="F330" s="4572" t="s">
        <v>2361</v>
      </c>
      <c r="G330" s="4572" t="s">
        <v>24</v>
      </c>
      <c r="H330" s="4572" t="s">
        <v>24</v>
      </c>
      <c r="I330" s="4572" t="s">
        <v>955</v>
      </c>
    </row>
    <row r="331" spans="1:9" ht="11.25" customHeight="1">
      <c r="A331" s="4572" t="s">
        <v>2309</v>
      </c>
      <c r="B331" s="4572" t="s">
        <v>14</v>
      </c>
      <c r="C331" s="4572" t="s">
        <v>2982</v>
      </c>
      <c r="D331" s="4572" t="s">
        <v>2983</v>
      </c>
      <c r="E331" s="4572" t="s">
        <v>2984</v>
      </c>
      <c r="F331" s="4572" t="s">
        <v>2549</v>
      </c>
      <c r="G331" s="4572" t="s">
        <v>24</v>
      </c>
      <c r="H331" s="4572" t="s">
        <v>24</v>
      </c>
      <c r="I331" s="4572" t="s">
        <v>955</v>
      </c>
    </row>
    <row r="332" spans="1:9" ht="11.25" customHeight="1">
      <c r="A332" s="4572" t="s">
        <v>2309</v>
      </c>
      <c r="B332" s="4572" t="s">
        <v>14</v>
      </c>
      <c r="C332" s="4572" t="s">
        <v>2526</v>
      </c>
      <c r="D332" s="4572" t="s">
        <v>2527</v>
      </c>
      <c r="E332" s="4572" t="s">
        <v>2528</v>
      </c>
      <c r="F332" s="4572" t="s">
        <v>2403</v>
      </c>
      <c r="G332" s="4572" t="s">
        <v>24</v>
      </c>
      <c r="H332" s="4572" t="s">
        <v>24</v>
      </c>
      <c r="I332" s="4572" t="s">
        <v>955</v>
      </c>
    </row>
    <row r="333" spans="1:9" ht="11.25" customHeight="1">
      <c r="A333" s="4572" t="s">
        <v>2309</v>
      </c>
      <c r="B333" s="4572" t="s">
        <v>14</v>
      </c>
      <c r="C333" s="4572" t="s">
        <v>2529</v>
      </c>
      <c r="D333" s="4572" t="s">
        <v>2530</v>
      </c>
      <c r="E333" s="4572" t="s">
        <v>2531</v>
      </c>
      <c r="F333" s="4572" t="s">
        <v>2375</v>
      </c>
      <c r="G333" s="4572" t="s">
        <v>24</v>
      </c>
      <c r="H333" s="4572" t="s">
        <v>24</v>
      </c>
      <c r="I333" s="4572" t="s">
        <v>955</v>
      </c>
    </row>
    <row r="334" spans="1:9" ht="11.25" customHeight="1">
      <c r="A334" s="4572" t="s">
        <v>2309</v>
      </c>
      <c r="B334" s="4572" t="s">
        <v>14</v>
      </c>
      <c r="C334" s="4572" t="s">
        <v>2540</v>
      </c>
      <c r="D334" s="4572" t="s">
        <v>2541</v>
      </c>
      <c r="E334" s="4572" t="s">
        <v>2542</v>
      </c>
      <c r="F334" s="4572" t="s">
        <v>2395</v>
      </c>
      <c r="G334" s="4572" t="s">
        <v>2543</v>
      </c>
      <c r="H334" s="4572" t="s">
        <v>24</v>
      </c>
      <c r="I334" s="4572" t="s">
        <v>955</v>
      </c>
    </row>
    <row r="335" spans="1:9" ht="11.25" customHeight="1">
      <c r="A335" s="4572" t="s">
        <v>2309</v>
      </c>
      <c r="B335" s="4572" t="s">
        <v>14</v>
      </c>
      <c r="C335" s="4572" t="s">
        <v>2544</v>
      </c>
      <c r="D335" s="4572" t="s">
        <v>2541</v>
      </c>
      <c r="E335" s="4572" t="s">
        <v>2545</v>
      </c>
      <c r="F335" s="4572" t="s">
        <v>50</v>
      </c>
      <c r="G335" s="4572" t="s">
        <v>24</v>
      </c>
      <c r="H335" s="4572" t="s">
        <v>24</v>
      </c>
      <c r="I335" s="4572" t="s">
        <v>955</v>
      </c>
    </row>
    <row r="336" spans="1:9" ht="11.25" customHeight="1">
      <c r="A336" s="4572" t="s">
        <v>2309</v>
      </c>
      <c r="B336" s="4572" t="s">
        <v>14</v>
      </c>
      <c r="C336" s="4572" t="s">
        <v>2985</v>
      </c>
      <c r="D336" s="4572" t="s">
        <v>2986</v>
      </c>
      <c r="E336" s="4572" t="s">
        <v>2987</v>
      </c>
      <c r="F336" s="4572" t="s">
        <v>2380</v>
      </c>
      <c r="G336" s="4572" t="s">
        <v>24</v>
      </c>
      <c r="H336" s="4572" t="s">
        <v>2988</v>
      </c>
      <c r="I336" s="4572" t="s">
        <v>955</v>
      </c>
    </row>
    <row r="337" spans="1:9" ht="11.25" customHeight="1">
      <c r="A337" s="4572" t="s">
        <v>2309</v>
      </c>
      <c r="B337" s="4572" t="s">
        <v>14</v>
      </c>
      <c r="C337" s="4572" t="s">
        <v>2842</v>
      </c>
      <c r="D337" s="4572" t="s">
        <v>2843</v>
      </c>
      <c r="E337" s="4572" t="s">
        <v>2844</v>
      </c>
      <c r="F337" s="4572" t="s">
        <v>2375</v>
      </c>
      <c r="G337" s="4572" t="s">
        <v>24</v>
      </c>
      <c r="H337" s="4572" t="s">
        <v>24</v>
      </c>
      <c r="I337" s="4572" t="s">
        <v>955</v>
      </c>
    </row>
    <row r="338" spans="1:9" ht="11.25" customHeight="1">
      <c r="A338" s="4572" t="s">
        <v>2309</v>
      </c>
      <c r="B338" s="4572" t="s">
        <v>14</v>
      </c>
      <c r="C338" s="4572" t="s">
        <v>2845</v>
      </c>
      <c r="D338" s="4572" t="s">
        <v>2846</v>
      </c>
      <c r="E338" s="4572" t="s">
        <v>2847</v>
      </c>
      <c r="F338" s="4572" t="s">
        <v>2403</v>
      </c>
      <c r="G338" s="4572" t="s">
        <v>2848</v>
      </c>
      <c r="H338" s="4572" t="s">
        <v>24</v>
      </c>
      <c r="I338" s="4572" t="s">
        <v>955</v>
      </c>
    </row>
    <row r="339" spans="1:9" ht="11.25" customHeight="1">
      <c r="A339" s="4572" t="s">
        <v>2309</v>
      </c>
      <c r="B339" s="4572" t="s">
        <v>14</v>
      </c>
      <c r="C339" s="4572" t="s">
        <v>2554</v>
      </c>
      <c r="D339" s="4572" t="s">
        <v>2555</v>
      </c>
      <c r="E339" s="4572" t="s">
        <v>2556</v>
      </c>
      <c r="F339" s="4572" t="s">
        <v>2324</v>
      </c>
      <c r="G339" s="4572" t="s">
        <v>24</v>
      </c>
      <c r="H339" s="4572" t="s">
        <v>24</v>
      </c>
      <c r="I339" s="4572" t="s">
        <v>955</v>
      </c>
    </row>
    <row r="340" spans="1:9" ht="11.25" customHeight="1">
      <c r="A340" s="4572" t="s">
        <v>2309</v>
      </c>
      <c r="B340" s="4572" t="s">
        <v>14</v>
      </c>
      <c r="C340" s="4572" t="s">
        <v>2859</v>
      </c>
      <c r="D340" s="4572" t="s">
        <v>2860</v>
      </c>
      <c r="E340" s="4572" t="s">
        <v>2861</v>
      </c>
      <c r="F340" s="4572" t="s">
        <v>2375</v>
      </c>
      <c r="G340" s="4572" t="s">
        <v>2862</v>
      </c>
      <c r="H340" s="4572" t="s">
        <v>24</v>
      </c>
      <c r="I340" s="4572" t="s">
        <v>955</v>
      </c>
    </row>
    <row r="341" spans="1:9" ht="11.25" customHeight="1">
      <c r="A341" s="4572" t="s">
        <v>2309</v>
      </c>
      <c r="B341" s="4572" t="s">
        <v>14</v>
      </c>
      <c r="C341" s="4572" t="s">
        <v>2863</v>
      </c>
      <c r="D341" s="4572" t="s">
        <v>2864</v>
      </c>
      <c r="E341" s="4572" t="s">
        <v>2865</v>
      </c>
      <c r="F341" s="4572" t="s">
        <v>2549</v>
      </c>
      <c r="G341" s="4572" t="s">
        <v>24</v>
      </c>
      <c r="H341" s="4572" t="s">
        <v>24</v>
      </c>
      <c r="I341" s="4572" t="s">
        <v>955</v>
      </c>
    </row>
    <row r="342" spans="1:9" ht="11.25" customHeight="1">
      <c r="A342" s="4572" t="s">
        <v>2309</v>
      </c>
      <c r="B342" s="4572" t="s">
        <v>14</v>
      </c>
      <c r="C342" s="4572" t="s">
        <v>2870</v>
      </c>
      <c r="D342" s="4572" t="s">
        <v>2871</v>
      </c>
      <c r="E342" s="4572" t="s">
        <v>2872</v>
      </c>
      <c r="F342" s="4572" t="s">
        <v>2324</v>
      </c>
      <c r="G342" s="4572" t="s">
        <v>24</v>
      </c>
      <c r="H342" s="4572" t="s">
        <v>24</v>
      </c>
      <c r="I342" s="4572" t="s">
        <v>955</v>
      </c>
    </row>
    <row r="343" spans="1:9" ht="11.25" customHeight="1">
      <c r="A343" s="4572" t="s">
        <v>2309</v>
      </c>
      <c r="B343" s="4572" t="s">
        <v>14</v>
      </c>
      <c r="C343" s="4572" t="s">
        <v>2873</v>
      </c>
      <c r="D343" s="4572" t="s">
        <v>2874</v>
      </c>
      <c r="E343" s="4572" t="s">
        <v>2875</v>
      </c>
      <c r="F343" s="4572" t="s">
        <v>2324</v>
      </c>
      <c r="G343" s="4572" t="s">
        <v>24</v>
      </c>
      <c r="H343" s="4572" t="s">
        <v>24</v>
      </c>
      <c r="I343" s="4572" t="s">
        <v>955</v>
      </c>
    </row>
    <row r="344" spans="1:9" ht="11.25" customHeight="1">
      <c r="A344" s="4572" t="s">
        <v>2309</v>
      </c>
      <c r="B344" s="4572" t="s">
        <v>14</v>
      </c>
      <c r="C344" s="4572" t="s">
        <v>2876</v>
      </c>
      <c r="D344" s="4572" t="s">
        <v>2877</v>
      </c>
      <c r="E344" s="4572" t="s">
        <v>2878</v>
      </c>
      <c r="F344" s="4572" t="s">
        <v>2324</v>
      </c>
      <c r="G344" s="4572" t="s">
        <v>24</v>
      </c>
      <c r="H344" s="4572" t="s">
        <v>24</v>
      </c>
      <c r="I344" s="4572" t="s">
        <v>955</v>
      </c>
    </row>
    <row r="345" spans="1:9" ht="11.25" customHeight="1">
      <c r="A345" s="4572" t="s">
        <v>2309</v>
      </c>
      <c r="B345" s="4572" t="s">
        <v>14</v>
      </c>
      <c r="C345" s="4572" t="s">
        <v>2879</v>
      </c>
      <c r="D345" s="4572" t="s">
        <v>2880</v>
      </c>
      <c r="E345" s="4572" t="s">
        <v>2881</v>
      </c>
      <c r="F345" s="4572" t="s">
        <v>2361</v>
      </c>
      <c r="G345" s="4572" t="s">
        <v>2882</v>
      </c>
      <c r="H345" s="4572" t="s">
        <v>24</v>
      </c>
      <c r="I345" s="4572" t="s">
        <v>955</v>
      </c>
    </row>
    <row r="346" spans="1:9" ht="11.25" customHeight="1">
      <c r="A346" s="4572" t="s">
        <v>2309</v>
      </c>
      <c r="B346" s="4572" t="s">
        <v>14</v>
      </c>
      <c r="C346" s="4572" t="s">
        <v>2989</v>
      </c>
      <c r="D346" s="4572" t="s">
        <v>2990</v>
      </c>
      <c r="E346" s="4572" t="s">
        <v>2991</v>
      </c>
      <c r="F346" s="4572" t="s">
        <v>2549</v>
      </c>
      <c r="G346" s="4572" t="s">
        <v>24</v>
      </c>
      <c r="H346" s="4572" t="s">
        <v>24</v>
      </c>
      <c r="I346" s="4572" t="s">
        <v>955</v>
      </c>
    </row>
    <row r="347" spans="1:9" ht="11.25" customHeight="1">
      <c r="A347" s="4572" t="s">
        <v>2309</v>
      </c>
      <c r="B347" s="4572" t="s">
        <v>14</v>
      </c>
      <c r="C347" s="4572" t="s">
        <v>2886</v>
      </c>
      <c r="D347" s="4572" t="s">
        <v>2887</v>
      </c>
      <c r="E347" s="4572" t="s">
        <v>2888</v>
      </c>
      <c r="F347" s="4572" t="s">
        <v>2549</v>
      </c>
      <c r="G347" s="4572" t="s">
        <v>24</v>
      </c>
      <c r="H347" s="4572" t="s">
        <v>24</v>
      </c>
      <c r="I347" s="4572" t="s">
        <v>955</v>
      </c>
    </row>
    <row r="348" spans="1:9" ht="11.25" customHeight="1">
      <c r="A348" s="4572" t="s">
        <v>2309</v>
      </c>
      <c r="B348" s="4572" t="s">
        <v>14</v>
      </c>
      <c r="C348" s="4572" t="s">
        <v>2889</v>
      </c>
      <c r="D348" s="4572" t="s">
        <v>2890</v>
      </c>
      <c r="E348" s="4572" t="s">
        <v>2891</v>
      </c>
      <c r="F348" s="4572" t="s">
        <v>2395</v>
      </c>
      <c r="G348" s="4572" t="s">
        <v>24</v>
      </c>
      <c r="H348" s="4572" t="s">
        <v>24</v>
      </c>
      <c r="I348" s="4572" t="s">
        <v>955</v>
      </c>
    </row>
    <row r="349" spans="1:9" ht="11.25" customHeight="1">
      <c r="A349" s="4572" t="s">
        <v>2309</v>
      </c>
      <c r="B349" s="4572" t="s">
        <v>14</v>
      </c>
      <c r="C349" s="4572" t="s">
        <v>2895</v>
      </c>
      <c r="D349" s="4572" t="s">
        <v>2896</v>
      </c>
      <c r="E349" s="4572" t="s">
        <v>2897</v>
      </c>
      <c r="F349" s="4572" t="s">
        <v>2361</v>
      </c>
      <c r="G349" s="4572" t="s">
        <v>24</v>
      </c>
      <c r="H349" s="4572" t="s">
        <v>24</v>
      </c>
      <c r="I349" s="4572" t="s">
        <v>955</v>
      </c>
    </row>
    <row r="350" spans="1:9" ht="11.25" customHeight="1">
      <c r="A350" s="4572" t="s">
        <v>2309</v>
      </c>
      <c r="B350" s="4572" t="s">
        <v>14</v>
      </c>
      <c r="C350" s="4572" t="s">
        <v>2898</v>
      </c>
      <c r="D350" s="4572" t="s">
        <v>2899</v>
      </c>
      <c r="E350" s="4572" t="s">
        <v>2900</v>
      </c>
      <c r="F350" s="4572" t="s">
        <v>2399</v>
      </c>
      <c r="G350" s="4572" t="s">
        <v>2901</v>
      </c>
      <c r="H350" s="4572" t="s">
        <v>24</v>
      </c>
      <c r="I350" s="4572" t="s">
        <v>955</v>
      </c>
    </row>
    <row r="351" spans="1:9" ht="11.25" customHeight="1">
      <c r="A351" s="4572" t="s">
        <v>2309</v>
      </c>
      <c r="B351" s="4572" t="s">
        <v>14</v>
      </c>
      <c r="C351" s="4572" t="s">
        <v>2902</v>
      </c>
      <c r="D351" s="4572" t="s">
        <v>2903</v>
      </c>
      <c r="E351" s="4572" t="s">
        <v>2904</v>
      </c>
      <c r="F351" s="4572" t="s">
        <v>2316</v>
      </c>
      <c r="G351" s="4572" t="s">
        <v>24</v>
      </c>
      <c r="H351" s="4572" t="s">
        <v>24</v>
      </c>
      <c r="I351" s="4572" t="s">
        <v>955</v>
      </c>
    </row>
    <row r="352" spans="1:9" ht="11.25" customHeight="1">
      <c r="A352" s="4572" t="s">
        <v>2309</v>
      </c>
      <c r="B352" s="4572" t="s">
        <v>14</v>
      </c>
      <c r="C352" s="4572" t="s">
        <v>2992</v>
      </c>
      <c r="D352" s="4572" t="s">
        <v>2993</v>
      </c>
      <c r="E352" s="4572" t="s">
        <v>2994</v>
      </c>
      <c r="F352" s="4572" t="s">
        <v>2549</v>
      </c>
      <c r="G352" s="4572" t="s">
        <v>24</v>
      </c>
      <c r="H352" s="4572" t="s">
        <v>24</v>
      </c>
      <c r="I352" s="4572" t="s">
        <v>955</v>
      </c>
    </row>
    <row r="353" spans="1:9" ht="11.25" customHeight="1">
      <c r="A353" s="4572" t="s">
        <v>2309</v>
      </c>
      <c r="B353" s="4572" t="s">
        <v>14</v>
      </c>
      <c r="C353" s="4572" t="s">
        <v>2909</v>
      </c>
      <c r="D353" s="4572" t="s">
        <v>2910</v>
      </c>
      <c r="E353" s="4572" t="s">
        <v>2911</v>
      </c>
      <c r="F353" s="4572" t="s">
        <v>2361</v>
      </c>
      <c r="G353" s="4572" t="s">
        <v>2912</v>
      </c>
      <c r="H353" s="4572" t="s">
        <v>24</v>
      </c>
      <c r="I353" s="4572" t="s">
        <v>955</v>
      </c>
    </row>
    <row r="354" spans="1:9" ht="11.25" customHeight="1">
      <c r="A354" s="4572" t="s">
        <v>2309</v>
      </c>
      <c r="B354" s="4572" t="s">
        <v>14</v>
      </c>
      <c r="C354" s="4572" t="s">
        <v>2581</v>
      </c>
      <c r="D354" s="4572" t="s">
        <v>2582</v>
      </c>
      <c r="E354" s="4572" t="s">
        <v>2583</v>
      </c>
      <c r="F354" s="4572" t="s">
        <v>2549</v>
      </c>
      <c r="G354" s="4572" t="s">
        <v>24</v>
      </c>
      <c r="H354" s="4572" t="s">
        <v>24</v>
      </c>
      <c r="I354" s="4572" t="s">
        <v>955</v>
      </c>
    </row>
    <row r="355" spans="1:9" ht="11.25" customHeight="1">
      <c r="A355" s="4572" t="s">
        <v>2309</v>
      </c>
      <c r="B355" s="4572" t="s">
        <v>14</v>
      </c>
      <c r="C355" s="4572" t="s">
        <v>2995</v>
      </c>
      <c r="D355" s="4572" t="s">
        <v>2996</v>
      </c>
      <c r="E355" s="4572" t="s">
        <v>2997</v>
      </c>
      <c r="F355" s="4572" t="s">
        <v>2549</v>
      </c>
      <c r="G355" s="4572" t="s">
        <v>24</v>
      </c>
      <c r="H355" s="4572" t="s">
        <v>24</v>
      </c>
      <c r="I355" s="4572" t="s">
        <v>955</v>
      </c>
    </row>
    <row r="356" spans="1:9" ht="11.25" customHeight="1">
      <c r="A356" s="4572" t="s">
        <v>2309</v>
      </c>
      <c r="B356" s="4572" t="s">
        <v>14</v>
      </c>
      <c r="C356" s="4572" t="s">
        <v>2916</v>
      </c>
      <c r="D356" s="4572" t="s">
        <v>2917</v>
      </c>
      <c r="E356" s="4572" t="s">
        <v>2918</v>
      </c>
      <c r="F356" s="4572" t="s">
        <v>2919</v>
      </c>
      <c r="G356" s="4572" t="s">
        <v>2920</v>
      </c>
      <c r="H356" s="4572" t="s">
        <v>24</v>
      </c>
      <c r="I356" s="4572" t="s">
        <v>955</v>
      </c>
    </row>
    <row r="357" spans="1:9" ht="11.25" customHeight="1">
      <c r="A357" s="4572" t="s">
        <v>2309</v>
      </c>
      <c r="B357" s="4572" t="s">
        <v>14</v>
      </c>
      <c r="C357" s="4572" t="s">
        <v>2998</v>
      </c>
      <c r="D357" s="4572" t="s">
        <v>2999</v>
      </c>
      <c r="E357" s="4572" t="s">
        <v>3000</v>
      </c>
      <c r="F357" s="4572" t="s">
        <v>2549</v>
      </c>
      <c r="G357" s="4572" t="s">
        <v>3001</v>
      </c>
      <c r="H357" s="4572" t="s">
        <v>24</v>
      </c>
      <c r="I357" s="4572" t="s">
        <v>955</v>
      </c>
    </row>
    <row r="358" spans="1:9" ht="11.25" customHeight="1">
      <c r="A358" s="4572" t="s">
        <v>2309</v>
      </c>
      <c r="B358" s="4572" t="s">
        <v>14</v>
      </c>
      <c r="C358" s="4572" t="s">
        <v>3002</v>
      </c>
      <c r="D358" s="4572" t="s">
        <v>3003</v>
      </c>
      <c r="E358" s="4572" t="s">
        <v>3004</v>
      </c>
      <c r="F358" s="4572" t="s">
        <v>2395</v>
      </c>
      <c r="G358" s="4572" t="s">
        <v>3005</v>
      </c>
      <c r="H358" s="4572" t="s">
        <v>24</v>
      </c>
      <c r="I358" s="4572" t="s">
        <v>955</v>
      </c>
    </row>
    <row r="359" spans="1:9" ht="11.25" customHeight="1">
      <c r="A359" s="4572" t="s">
        <v>2309</v>
      </c>
      <c r="B359" s="4572" t="s">
        <v>14</v>
      </c>
      <c r="C359" s="4572" t="s">
        <v>2928</v>
      </c>
      <c r="D359" s="4572" t="s">
        <v>2929</v>
      </c>
      <c r="E359" s="4572" t="s">
        <v>2930</v>
      </c>
      <c r="F359" s="4572" t="s">
        <v>2324</v>
      </c>
      <c r="G359" s="4572" t="s">
        <v>24</v>
      </c>
      <c r="H359" s="4572" t="s">
        <v>24</v>
      </c>
      <c r="I359" s="4572" t="s">
        <v>955</v>
      </c>
    </row>
    <row r="360" spans="1:9" ht="11.25" customHeight="1">
      <c r="A360" s="4572" t="s">
        <v>2309</v>
      </c>
      <c r="B360" s="4572" t="s">
        <v>14</v>
      </c>
      <c r="C360" s="4572" t="s">
        <v>2931</v>
      </c>
      <c r="D360" s="4572" t="s">
        <v>2932</v>
      </c>
      <c r="E360" s="4572" t="s">
        <v>2933</v>
      </c>
      <c r="F360" s="4572" t="s">
        <v>2336</v>
      </c>
      <c r="G360" s="4572" t="s">
        <v>2934</v>
      </c>
      <c r="H360" s="4572" t="s">
        <v>24</v>
      </c>
      <c r="I360" s="4572" t="s">
        <v>955</v>
      </c>
    </row>
    <row r="361" spans="1:9" ht="11.25" customHeight="1">
      <c r="A361" s="4572" t="s">
        <v>2309</v>
      </c>
      <c r="B361" s="4572" t="s">
        <v>14</v>
      </c>
      <c r="C361" s="4572" t="s">
        <v>2961</v>
      </c>
      <c r="D361" s="4572" t="s">
        <v>2962</v>
      </c>
      <c r="E361" s="4572" t="s">
        <v>2963</v>
      </c>
      <c r="F361" s="4572" t="s">
        <v>2316</v>
      </c>
      <c r="G361" s="4572" t="s">
        <v>24</v>
      </c>
      <c r="H361" s="4572" t="s">
        <v>24</v>
      </c>
      <c r="I361" s="4572" t="s">
        <v>955</v>
      </c>
    </row>
    <row r="362" spans="1:9" ht="11.25" customHeight="1">
      <c r="A362" s="4572" t="s">
        <v>2309</v>
      </c>
      <c r="B362" s="4572" t="s">
        <v>14</v>
      </c>
      <c r="C362" s="4572" t="s">
        <v>2623</v>
      </c>
      <c r="D362" s="4572" t="s">
        <v>2624</v>
      </c>
      <c r="E362" s="4572" t="s">
        <v>2625</v>
      </c>
      <c r="F362" s="4572" t="s">
        <v>2626</v>
      </c>
      <c r="G362" s="4572" t="s">
        <v>24</v>
      </c>
      <c r="H362" s="4572" t="s">
        <v>24</v>
      </c>
      <c r="I362" s="4572" t="s">
        <v>955</v>
      </c>
    </row>
    <row r="363" spans="1:9" ht="11.25" customHeight="1">
      <c r="A363" s="4572" t="s">
        <v>2309</v>
      </c>
      <c r="B363" s="4572" t="s">
        <v>14</v>
      </c>
      <c r="C363" s="4572" t="s">
        <v>2967</v>
      </c>
      <c r="D363" s="4572" t="s">
        <v>2968</v>
      </c>
      <c r="E363" s="4572" t="s">
        <v>2969</v>
      </c>
      <c r="F363" s="4572" t="s">
        <v>2361</v>
      </c>
      <c r="G363" s="4572" t="s">
        <v>24</v>
      </c>
      <c r="H363" s="4572" t="s">
        <v>24</v>
      </c>
      <c r="I363" s="4572" t="s">
        <v>955</v>
      </c>
    </row>
    <row r="364" spans="1:9" ht="11.25" customHeight="1">
      <c r="A364" s="4572" t="s">
        <v>2309</v>
      </c>
      <c r="B364" s="4572" t="s">
        <v>14</v>
      </c>
      <c r="C364" s="4572" t="s">
        <v>2631</v>
      </c>
      <c r="D364" s="4572" t="s">
        <v>2632</v>
      </c>
      <c r="E364" s="4572" t="s">
        <v>2633</v>
      </c>
      <c r="F364" s="4572" t="s">
        <v>2634</v>
      </c>
      <c r="G364" s="4572" t="s">
        <v>24</v>
      </c>
      <c r="H364" s="4572" t="s">
        <v>24</v>
      </c>
      <c r="I364" s="4572" t="s">
        <v>955</v>
      </c>
    </row>
    <row r="365" spans="1:9" ht="11.25" customHeight="1">
      <c r="A365" s="4572" t="s">
        <v>2309</v>
      </c>
      <c r="B365" s="4572" t="s">
        <v>14</v>
      </c>
      <c r="C365" s="4572" t="s">
        <v>2635</v>
      </c>
      <c r="D365" s="4572" t="s">
        <v>2636</v>
      </c>
      <c r="E365" s="4572" t="s">
        <v>2625</v>
      </c>
      <c r="F365" s="4572" t="s">
        <v>2637</v>
      </c>
      <c r="G365" s="4572" t="s">
        <v>24</v>
      </c>
      <c r="H365" s="4572" t="s">
        <v>24</v>
      </c>
      <c r="I365" s="4572" t="s">
        <v>955</v>
      </c>
    </row>
    <row r="366" spans="1:9" ht="11.25" customHeight="1">
      <c r="A366" s="4572" t="s">
        <v>2309</v>
      </c>
      <c r="B366" s="4572" t="s">
        <v>14</v>
      </c>
      <c r="C366" s="4572" t="s">
        <v>24</v>
      </c>
      <c r="D366" s="4572" t="s">
        <v>2314</v>
      </c>
      <c r="E366" s="4572" t="s">
        <v>2315</v>
      </c>
      <c r="F366" s="4572" t="s">
        <v>2316</v>
      </c>
      <c r="G366" s="4572" t="s">
        <v>24</v>
      </c>
      <c r="H366" s="4572" t="s">
        <v>24</v>
      </c>
      <c r="I366" s="4572" t="s">
        <v>1753</v>
      </c>
    </row>
    <row r="367" spans="1:9" ht="11.25" customHeight="1">
      <c r="A367" s="4572" t="s">
        <v>2309</v>
      </c>
      <c r="B367" s="4572" t="s">
        <v>14</v>
      </c>
      <c r="C367" s="4572" t="s">
        <v>2678</v>
      </c>
      <c r="D367" s="4572" t="s">
        <v>2679</v>
      </c>
      <c r="E367" s="4572" t="s">
        <v>2680</v>
      </c>
      <c r="F367" s="4572" t="s">
        <v>2361</v>
      </c>
      <c r="G367" s="4572" t="s">
        <v>24</v>
      </c>
      <c r="H367" s="4572" t="s">
        <v>24</v>
      </c>
      <c r="I367" s="4572" t="s">
        <v>1753</v>
      </c>
    </row>
    <row r="368" spans="1:9" ht="11.25" customHeight="1">
      <c r="A368" s="4572" t="s">
        <v>2309</v>
      </c>
      <c r="B368" s="4572" t="s">
        <v>14</v>
      </c>
      <c r="C368" s="4572" t="s">
        <v>3006</v>
      </c>
      <c r="D368" s="4572" t="s">
        <v>3007</v>
      </c>
      <c r="E368" s="4572" t="s">
        <v>3008</v>
      </c>
      <c r="F368" s="4572" t="s">
        <v>2549</v>
      </c>
      <c r="G368" s="4572" t="s">
        <v>24</v>
      </c>
      <c r="H368" s="4572" t="s">
        <v>24</v>
      </c>
      <c r="I368" s="4572" t="s">
        <v>1753</v>
      </c>
    </row>
    <row r="369" spans="1:9" ht="11.25" customHeight="1">
      <c r="A369" s="4572" t="s">
        <v>2309</v>
      </c>
      <c r="B369" s="4572" t="s">
        <v>14</v>
      </c>
      <c r="C369" s="4572" t="s">
        <v>3009</v>
      </c>
      <c r="D369" s="4572" t="s">
        <v>3010</v>
      </c>
      <c r="E369" s="4572" t="s">
        <v>3011</v>
      </c>
      <c r="F369" s="4572" t="s">
        <v>2336</v>
      </c>
      <c r="G369" s="4572" t="s">
        <v>24</v>
      </c>
      <c r="H369" s="4572" t="s">
        <v>24</v>
      </c>
      <c r="I369" s="4572" t="s">
        <v>1753</v>
      </c>
    </row>
    <row r="370" spans="1:9" ht="11.25" customHeight="1">
      <c r="A370" s="4572" t="s">
        <v>2309</v>
      </c>
      <c r="B370" s="4572" t="s">
        <v>14</v>
      </c>
      <c r="C370" s="4572" t="s">
        <v>3012</v>
      </c>
      <c r="D370" s="4572" t="s">
        <v>3013</v>
      </c>
      <c r="E370" s="4572" t="s">
        <v>3014</v>
      </c>
      <c r="F370" s="4572" t="s">
        <v>2420</v>
      </c>
      <c r="G370" s="4572" t="s">
        <v>24</v>
      </c>
      <c r="H370" s="4572" t="s">
        <v>24</v>
      </c>
      <c r="I370" s="4572" t="s">
        <v>1753</v>
      </c>
    </row>
    <row r="371" spans="1:9" ht="11.25" customHeight="1">
      <c r="A371" s="4572" t="s">
        <v>2309</v>
      </c>
      <c r="B371" s="4572" t="s">
        <v>14</v>
      </c>
      <c r="C371" s="4572" t="s">
        <v>3015</v>
      </c>
      <c r="D371" s="4572" t="s">
        <v>3016</v>
      </c>
      <c r="E371" s="4572" t="s">
        <v>3017</v>
      </c>
      <c r="F371" s="4572" t="s">
        <v>2336</v>
      </c>
      <c r="G371" s="4572" t="s">
        <v>24</v>
      </c>
      <c r="H371" s="4572" t="s">
        <v>24</v>
      </c>
      <c r="I371" s="4572" t="s">
        <v>1753</v>
      </c>
    </row>
    <row r="372" spans="1:9" ht="11.25" customHeight="1">
      <c r="A372" s="4572" t="s">
        <v>2309</v>
      </c>
      <c r="B372" s="4572" t="s">
        <v>14</v>
      </c>
      <c r="C372" s="4572" t="s">
        <v>3018</v>
      </c>
      <c r="D372" s="4572" t="s">
        <v>3019</v>
      </c>
      <c r="E372" s="4572" t="s">
        <v>3020</v>
      </c>
      <c r="F372" s="4572" t="s">
        <v>2336</v>
      </c>
      <c r="G372" s="4572" t="s">
        <v>24</v>
      </c>
      <c r="H372" s="4572" t="s">
        <v>24</v>
      </c>
      <c r="I372" s="4572" t="s">
        <v>1753</v>
      </c>
    </row>
    <row r="373" spans="1:9" ht="11.25" customHeight="1">
      <c r="A373" s="4572" t="s">
        <v>2309</v>
      </c>
      <c r="B373" s="4572" t="s">
        <v>14</v>
      </c>
      <c r="C373" s="4572" t="s">
        <v>3021</v>
      </c>
      <c r="D373" s="4572" t="s">
        <v>3022</v>
      </c>
      <c r="E373" s="4572" t="s">
        <v>3023</v>
      </c>
      <c r="F373" s="4572" t="s">
        <v>2336</v>
      </c>
      <c r="G373" s="4572" t="s">
        <v>24</v>
      </c>
      <c r="H373" s="4572" t="s">
        <v>24</v>
      </c>
      <c r="I373" s="4572" t="s">
        <v>1753</v>
      </c>
    </row>
    <row r="374" spans="1:9" ht="11.25" customHeight="1">
      <c r="A374" s="4572" t="s">
        <v>2309</v>
      </c>
      <c r="B374" s="4572" t="s">
        <v>14</v>
      </c>
      <c r="C374" s="4572" t="s">
        <v>3024</v>
      </c>
      <c r="D374" s="4572" t="s">
        <v>3025</v>
      </c>
      <c r="E374" s="4572" t="s">
        <v>3026</v>
      </c>
      <c r="F374" s="4572" t="s">
        <v>2316</v>
      </c>
      <c r="G374" s="4572" t="s">
        <v>24</v>
      </c>
      <c r="H374" s="4572" t="s">
        <v>24</v>
      </c>
      <c r="I374" s="4572" t="s">
        <v>1753</v>
      </c>
    </row>
    <row r="375" spans="1:9" ht="11.25" customHeight="1">
      <c r="A375" s="4572" t="s">
        <v>2309</v>
      </c>
      <c r="B375" s="4572" t="s">
        <v>14</v>
      </c>
      <c r="C375" s="4572" t="s">
        <v>3027</v>
      </c>
      <c r="D375" s="4572" t="s">
        <v>3028</v>
      </c>
      <c r="E375" s="4572" t="s">
        <v>3029</v>
      </c>
      <c r="F375" s="4572" t="s">
        <v>2336</v>
      </c>
      <c r="G375" s="4572" t="s">
        <v>24</v>
      </c>
      <c r="H375" s="4572" t="s">
        <v>24</v>
      </c>
      <c r="I375" s="4572" t="s">
        <v>1753</v>
      </c>
    </row>
    <row r="376" spans="1:9" ht="11.25" customHeight="1">
      <c r="A376" s="4572" t="s">
        <v>2309</v>
      </c>
      <c r="B376" s="4572" t="s">
        <v>14</v>
      </c>
      <c r="C376" s="4572" t="s">
        <v>3030</v>
      </c>
      <c r="D376" s="4572" t="s">
        <v>3031</v>
      </c>
      <c r="E376" s="4572" t="s">
        <v>3032</v>
      </c>
      <c r="F376" s="4572" t="s">
        <v>3033</v>
      </c>
      <c r="G376" s="4572" t="s">
        <v>24</v>
      </c>
      <c r="H376" s="4572" t="s">
        <v>24</v>
      </c>
      <c r="I376" s="4572" t="s">
        <v>1753</v>
      </c>
    </row>
    <row r="377" spans="1:9" ht="11.25" customHeight="1">
      <c r="A377" s="4572" t="s">
        <v>2309</v>
      </c>
      <c r="B377" s="4572" t="s">
        <v>14</v>
      </c>
      <c r="C377" s="4572" t="s">
        <v>3034</v>
      </c>
      <c r="D377" s="4572" t="s">
        <v>3035</v>
      </c>
      <c r="E377" s="4572" t="s">
        <v>3036</v>
      </c>
      <c r="F377" s="4572" t="s">
        <v>2324</v>
      </c>
      <c r="G377" s="4572" t="s">
        <v>24</v>
      </c>
      <c r="H377" s="4572" t="s">
        <v>24</v>
      </c>
      <c r="I377" s="4572" t="s">
        <v>1753</v>
      </c>
    </row>
    <row r="378" spans="1:9" ht="11.25" customHeight="1">
      <c r="A378" s="4572" t="s">
        <v>2309</v>
      </c>
      <c r="B378" s="4572" t="s">
        <v>14</v>
      </c>
      <c r="C378" s="4572" t="s">
        <v>3037</v>
      </c>
      <c r="D378" s="4572" t="s">
        <v>3038</v>
      </c>
      <c r="E378" s="4572" t="s">
        <v>3039</v>
      </c>
      <c r="F378" s="4572" t="s">
        <v>2438</v>
      </c>
      <c r="G378" s="4572" t="s">
        <v>24</v>
      </c>
      <c r="H378" s="4572" t="s">
        <v>24</v>
      </c>
      <c r="I378" s="4572" t="s">
        <v>1753</v>
      </c>
    </row>
    <row r="379" spans="1:9" ht="11.25" customHeight="1">
      <c r="A379" s="4572" t="s">
        <v>2309</v>
      </c>
      <c r="B379" s="4572" t="s">
        <v>14</v>
      </c>
      <c r="C379" s="4572" t="s">
        <v>2905</v>
      </c>
      <c r="D379" s="4572" t="s">
        <v>2906</v>
      </c>
      <c r="E379" s="4572" t="s">
        <v>2907</v>
      </c>
      <c r="F379" s="4572" t="s">
        <v>2403</v>
      </c>
      <c r="G379" s="4572" t="s">
        <v>2908</v>
      </c>
      <c r="H379" s="4572" t="s">
        <v>24</v>
      </c>
      <c r="I379" s="4572" t="s">
        <v>1753</v>
      </c>
    </row>
    <row r="380" spans="1:9" ht="11.25" customHeight="1">
      <c r="A380" s="4572" t="s">
        <v>2309</v>
      </c>
      <c r="B380" s="4572" t="s">
        <v>14</v>
      </c>
      <c r="C380" s="4572" t="s">
        <v>3040</v>
      </c>
      <c r="D380" s="4572" t="s">
        <v>3041</v>
      </c>
      <c r="E380" s="4572" t="s">
        <v>3042</v>
      </c>
      <c r="F380" s="4572" t="s">
        <v>2336</v>
      </c>
      <c r="G380" s="4572" t="s">
        <v>24</v>
      </c>
      <c r="H380" s="4572" t="s">
        <v>24</v>
      </c>
      <c r="I380" s="4572" t="s">
        <v>1753</v>
      </c>
    </row>
    <row r="381" spans="1:9" ht="11.25" customHeight="1">
      <c r="A381" s="4572" t="s">
        <v>2309</v>
      </c>
      <c r="B381" s="4572" t="s">
        <v>14</v>
      </c>
      <c r="C381" s="4572" t="s">
        <v>3043</v>
      </c>
      <c r="D381" s="4572" t="s">
        <v>3044</v>
      </c>
      <c r="E381" s="4572" t="s">
        <v>3045</v>
      </c>
      <c r="F381" s="4572" t="s">
        <v>2395</v>
      </c>
      <c r="G381" s="4572" t="s">
        <v>24</v>
      </c>
      <c r="H381" s="4572" t="s">
        <v>24</v>
      </c>
      <c r="I381" s="4572" t="s">
        <v>1753</v>
      </c>
    </row>
    <row r="382" spans="1:9" ht="11.25" customHeight="1">
      <c r="A382" s="4572" t="s">
        <v>2309</v>
      </c>
      <c r="B382" s="4572" t="s">
        <v>14</v>
      </c>
      <c r="C382" s="4572" t="s">
        <v>3046</v>
      </c>
      <c r="D382" s="4572" t="s">
        <v>3047</v>
      </c>
      <c r="E382" s="4572" t="s">
        <v>3048</v>
      </c>
      <c r="F382" s="4572" t="s">
        <v>2316</v>
      </c>
      <c r="G382" s="4572" t="s">
        <v>24</v>
      </c>
      <c r="H382" s="4572" t="s">
        <v>24</v>
      </c>
      <c r="I382" s="4572" t="s">
        <v>1753</v>
      </c>
    </row>
    <row r="383" spans="1:9" ht="11.25" customHeight="1">
      <c r="A383" s="4572" t="s">
        <v>2309</v>
      </c>
      <c r="B383" s="4572" t="s">
        <v>14</v>
      </c>
      <c r="C383" s="4572" t="s">
        <v>3049</v>
      </c>
      <c r="D383" s="4572" t="s">
        <v>3050</v>
      </c>
      <c r="E383" s="4572" t="s">
        <v>3051</v>
      </c>
      <c r="F383" s="4572" t="s">
        <v>2324</v>
      </c>
      <c r="G383" s="4572" t="s">
        <v>24</v>
      </c>
      <c r="H383" s="4572" t="s">
        <v>24</v>
      </c>
      <c r="I383" s="4572" t="s">
        <v>1753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G168"/>
  <sheetViews>
    <sheetView showGridLines="0" workbookViewId="0"/>
  </sheetViews>
  <sheetFormatPr defaultRowHeight="11.25" customHeight="1"/>
  <cols>
    <col min="1" max="1" width="9.140625" style="4548"/>
  </cols>
  <sheetData>
    <row r="1" spans="1:7" ht="11.25" customHeight="1">
      <c r="A1" s="302" t="s">
        <v>3052</v>
      </c>
      <c r="B1" s="1" t="s">
        <v>3053</v>
      </c>
      <c r="C1" s="1" t="s">
        <v>3054</v>
      </c>
      <c r="D1" s="1" t="s">
        <v>3055</v>
      </c>
      <c r="E1" t="s">
        <v>3056</v>
      </c>
      <c r="F1" t="s">
        <v>3057</v>
      </c>
      <c r="G1" t="s">
        <v>3058</v>
      </c>
    </row>
    <row r="2" spans="1:7" ht="11.25" customHeight="1">
      <c r="A2" s="302" t="s">
        <v>14</v>
      </c>
      <c r="B2" t="s">
        <v>159</v>
      </c>
      <c r="C2" t="s">
        <v>3059</v>
      </c>
      <c r="D2" t="s">
        <v>159</v>
      </c>
      <c r="E2" t="s">
        <v>3059</v>
      </c>
      <c r="F2" t="s">
        <v>3060</v>
      </c>
      <c r="G2" t="s">
        <v>174</v>
      </c>
    </row>
    <row r="3" spans="1:7" ht="11.25" customHeight="1">
      <c r="A3" s="302" t="s">
        <v>14</v>
      </c>
      <c r="B3" t="s">
        <v>159</v>
      </c>
      <c r="C3" t="s">
        <v>3059</v>
      </c>
      <c r="D3" t="s">
        <v>160</v>
      </c>
      <c r="E3" t="s">
        <v>161</v>
      </c>
      <c r="F3" t="s">
        <v>3061</v>
      </c>
      <c r="G3" t="s">
        <v>101</v>
      </c>
    </row>
    <row r="4" spans="1:7" ht="11.25" customHeight="1">
      <c r="A4" s="302" t="s">
        <v>14</v>
      </c>
      <c r="B4" t="s">
        <v>159</v>
      </c>
      <c r="C4" t="s">
        <v>3059</v>
      </c>
      <c r="D4" t="s">
        <v>3062</v>
      </c>
      <c r="E4" t="s">
        <v>3063</v>
      </c>
      <c r="F4" t="s">
        <v>3064</v>
      </c>
      <c r="G4" t="s">
        <v>88</v>
      </c>
    </row>
    <row r="5" spans="1:7" ht="11.25" customHeight="1">
      <c r="A5" s="302" t="s">
        <v>14</v>
      </c>
      <c r="B5" t="s">
        <v>159</v>
      </c>
      <c r="C5" t="s">
        <v>3059</v>
      </c>
      <c r="D5" t="s">
        <v>3065</v>
      </c>
      <c r="E5" t="s">
        <v>3066</v>
      </c>
      <c r="F5" t="s">
        <v>3064</v>
      </c>
      <c r="G5" t="s">
        <v>89</v>
      </c>
    </row>
    <row r="6" spans="1:7" ht="11.25" customHeight="1">
      <c r="A6" s="302" t="s">
        <v>14</v>
      </c>
      <c r="B6" t="s">
        <v>159</v>
      </c>
      <c r="C6" t="s">
        <v>3059</v>
      </c>
      <c r="D6" t="s">
        <v>3067</v>
      </c>
      <c r="E6" t="s">
        <v>3068</v>
      </c>
      <c r="F6" t="s">
        <v>3064</v>
      </c>
      <c r="G6" t="s">
        <v>128</v>
      </c>
    </row>
    <row r="7" spans="1:7" ht="11.25" customHeight="1">
      <c r="A7" s="302" t="s">
        <v>14</v>
      </c>
      <c r="B7" t="s">
        <v>159</v>
      </c>
      <c r="C7" t="s">
        <v>3059</v>
      </c>
      <c r="D7" t="s">
        <v>3069</v>
      </c>
      <c r="E7" t="s">
        <v>3070</v>
      </c>
      <c r="F7" t="s">
        <v>3064</v>
      </c>
      <c r="G7" t="s">
        <v>90</v>
      </c>
    </row>
    <row r="8" spans="1:7" ht="11.25" customHeight="1">
      <c r="A8" s="302" t="s">
        <v>14</v>
      </c>
      <c r="B8" t="s">
        <v>139</v>
      </c>
      <c r="C8" t="s">
        <v>3071</v>
      </c>
      <c r="D8" t="s">
        <v>139</v>
      </c>
      <c r="E8" t="s">
        <v>3071</v>
      </c>
      <c r="F8" t="s">
        <v>3060</v>
      </c>
      <c r="G8" t="s">
        <v>91</v>
      </c>
    </row>
    <row r="9" spans="1:7" ht="11.25" customHeight="1">
      <c r="A9" s="302" t="s">
        <v>14</v>
      </c>
      <c r="B9" t="s">
        <v>139</v>
      </c>
      <c r="C9" t="s">
        <v>3071</v>
      </c>
      <c r="D9" t="s">
        <v>140</v>
      </c>
      <c r="E9" t="s">
        <v>141</v>
      </c>
      <c r="F9" t="s">
        <v>3072</v>
      </c>
      <c r="G9" t="s">
        <v>138</v>
      </c>
    </row>
    <row r="10" spans="1:7" ht="11.25" customHeight="1">
      <c r="A10" s="302" t="s">
        <v>14</v>
      </c>
      <c r="B10" t="s">
        <v>139</v>
      </c>
      <c r="C10" t="s">
        <v>3071</v>
      </c>
      <c r="D10" t="s">
        <v>3073</v>
      </c>
      <c r="E10" t="s">
        <v>3074</v>
      </c>
      <c r="F10" t="s">
        <v>3061</v>
      </c>
      <c r="G10" t="s">
        <v>151</v>
      </c>
    </row>
    <row r="11" spans="1:7" ht="11.25" customHeight="1">
      <c r="A11" s="302" t="s">
        <v>14</v>
      </c>
      <c r="B11" t="s">
        <v>139</v>
      </c>
      <c r="C11" t="s">
        <v>3071</v>
      </c>
      <c r="D11" t="s">
        <v>3075</v>
      </c>
      <c r="E11" t="s">
        <v>3076</v>
      </c>
      <c r="F11" t="s">
        <v>3064</v>
      </c>
      <c r="G11" t="s">
        <v>157</v>
      </c>
    </row>
    <row r="12" spans="1:7" ht="11.25" customHeight="1">
      <c r="A12" s="302" t="s">
        <v>14</v>
      </c>
      <c r="B12" t="s">
        <v>139</v>
      </c>
      <c r="C12" t="s">
        <v>3071</v>
      </c>
      <c r="D12" t="s">
        <v>3077</v>
      </c>
      <c r="E12" t="s">
        <v>3078</v>
      </c>
      <c r="F12" t="s">
        <v>3064</v>
      </c>
      <c r="G12" t="s">
        <v>162</v>
      </c>
    </row>
    <row r="13" spans="1:7" ht="11.25" customHeight="1">
      <c r="A13" s="302" t="s">
        <v>14</v>
      </c>
      <c r="B13" t="s">
        <v>139</v>
      </c>
      <c r="C13" t="s">
        <v>3071</v>
      </c>
      <c r="D13" t="s">
        <v>3079</v>
      </c>
      <c r="E13" t="s">
        <v>3080</v>
      </c>
      <c r="F13" t="s">
        <v>3061</v>
      </c>
      <c r="G13" t="s">
        <v>210</v>
      </c>
    </row>
    <row r="14" spans="1:7" ht="11.25" customHeight="1">
      <c r="A14" s="302" t="s">
        <v>14</v>
      </c>
      <c r="B14" t="s">
        <v>139</v>
      </c>
      <c r="C14" t="s">
        <v>3071</v>
      </c>
      <c r="D14" t="s">
        <v>3081</v>
      </c>
      <c r="E14" t="s">
        <v>3082</v>
      </c>
      <c r="F14" t="s">
        <v>3061</v>
      </c>
      <c r="G14" t="s">
        <v>211</v>
      </c>
    </row>
    <row r="15" spans="1:7" ht="11.25" customHeight="1">
      <c r="A15" s="302" t="s">
        <v>14</v>
      </c>
      <c r="B15" t="s">
        <v>139</v>
      </c>
      <c r="C15" t="s">
        <v>3071</v>
      </c>
      <c r="D15" t="s">
        <v>3083</v>
      </c>
      <c r="E15" t="s">
        <v>3084</v>
      </c>
      <c r="F15" t="s">
        <v>3064</v>
      </c>
      <c r="G15" t="s">
        <v>212</v>
      </c>
    </row>
    <row r="16" spans="1:7" ht="11.25" customHeight="1">
      <c r="A16" s="302" t="s">
        <v>14</v>
      </c>
      <c r="B16" t="s">
        <v>139</v>
      </c>
      <c r="C16" t="s">
        <v>3071</v>
      </c>
      <c r="D16" t="s">
        <v>3085</v>
      </c>
      <c r="E16" t="s">
        <v>3086</v>
      </c>
      <c r="F16" t="s">
        <v>3064</v>
      </c>
      <c r="G16" t="s">
        <v>383</v>
      </c>
    </row>
    <row r="17" spans="1:7" ht="11.25" customHeight="1">
      <c r="A17" s="302" t="s">
        <v>14</v>
      </c>
      <c r="B17" t="s">
        <v>139</v>
      </c>
      <c r="C17" t="s">
        <v>3071</v>
      </c>
      <c r="D17" t="s">
        <v>3087</v>
      </c>
      <c r="E17" t="s">
        <v>3088</v>
      </c>
      <c r="F17" t="s">
        <v>3061</v>
      </c>
      <c r="G17" t="s">
        <v>389</v>
      </c>
    </row>
    <row r="18" spans="1:7" ht="11.25" customHeight="1">
      <c r="A18" s="302" t="s">
        <v>14</v>
      </c>
      <c r="B18" t="s">
        <v>3089</v>
      </c>
      <c r="C18" t="s">
        <v>3090</v>
      </c>
      <c r="D18" t="s">
        <v>3091</v>
      </c>
      <c r="E18" t="s">
        <v>3092</v>
      </c>
      <c r="F18" t="s">
        <v>3064</v>
      </c>
      <c r="G18" t="s">
        <v>395</v>
      </c>
    </row>
    <row r="19" spans="1:7" ht="11.25" customHeight="1">
      <c r="A19" s="302" t="s">
        <v>14</v>
      </c>
      <c r="B19" t="s">
        <v>3089</v>
      </c>
      <c r="C19" t="s">
        <v>3090</v>
      </c>
      <c r="D19" t="s">
        <v>3089</v>
      </c>
      <c r="E19" t="s">
        <v>3090</v>
      </c>
      <c r="F19" t="s">
        <v>3060</v>
      </c>
      <c r="G19" t="s">
        <v>401</v>
      </c>
    </row>
    <row r="20" spans="1:7" ht="11.25" customHeight="1">
      <c r="A20" s="302" t="s">
        <v>14</v>
      </c>
      <c r="B20" t="s">
        <v>3089</v>
      </c>
      <c r="C20" t="s">
        <v>3090</v>
      </c>
      <c r="D20" t="s">
        <v>3093</v>
      </c>
      <c r="E20" t="s">
        <v>3094</v>
      </c>
      <c r="F20" t="s">
        <v>3061</v>
      </c>
      <c r="G20" t="s">
        <v>1642</v>
      </c>
    </row>
    <row r="21" spans="1:7" ht="11.25" customHeight="1">
      <c r="A21" s="302" t="s">
        <v>14</v>
      </c>
      <c r="B21" t="s">
        <v>3089</v>
      </c>
      <c r="C21" t="s">
        <v>3090</v>
      </c>
      <c r="D21" t="s">
        <v>3095</v>
      </c>
      <c r="E21" t="s">
        <v>3096</v>
      </c>
      <c r="F21" t="s">
        <v>3064</v>
      </c>
      <c r="G21" t="s">
        <v>1651</v>
      </c>
    </row>
    <row r="22" spans="1:7" ht="11.25" customHeight="1">
      <c r="A22" s="302" t="s">
        <v>14</v>
      </c>
      <c r="B22" t="s">
        <v>3089</v>
      </c>
      <c r="C22" t="s">
        <v>3090</v>
      </c>
      <c r="D22" t="s">
        <v>3097</v>
      </c>
      <c r="E22" t="s">
        <v>3098</v>
      </c>
      <c r="F22" t="s">
        <v>3064</v>
      </c>
      <c r="G22" t="s">
        <v>1667</v>
      </c>
    </row>
    <row r="23" spans="1:7" ht="11.25" customHeight="1">
      <c r="A23" s="302" t="s">
        <v>14</v>
      </c>
      <c r="B23" t="s">
        <v>3089</v>
      </c>
      <c r="C23" t="s">
        <v>3090</v>
      </c>
      <c r="D23" t="s">
        <v>3099</v>
      </c>
      <c r="E23" t="s">
        <v>3100</v>
      </c>
      <c r="F23" t="s">
        <v>3064</v>
      </c>
      <c r="G23" t="s">
        <v>1674</v>
      </c>
    </row>
    <row r="24" spans="1:7" ht="11.25" customHeight="1">
      <c r="A24" s="302" t="s">
        <v>14</v>
      </c>
      <c r="B24" t="s">
        <v>3089</v>
      </c>
      <c r="C24" t="s">
        <v>3090</v>
      </c>
      <c r="D24" t="s">
        <v>3101</v>
      </c>
      <c r="E24" t="s">
        <v>3102</v>
      </c>
      <c r="F24" t="s">
        <v>3061</v>
      </c>
      <c r="G24" t="s">
        <v>1682</v>
      </c>
    </row>
    <row r="25" spans="1:7" ht="11.25" customHeight="1">
      <c r="A25" s="302" t="s">
        <v>14</v>
      </c>
      <c r="B25" t="s">
        <v>3103</v>
      </c>
      <c r="C25" t="s">
        <v>3104</v>
      </c>
      <c r="D25" t="s">
        <v>3105</v>
      </c>
      <c r="E25" t="s">
        <v>3106</v>
      </c>
      <c r="F25" t="s">
        <v>3064</v>
      </c>
      <c r="G25" t="s">
        <v>1689</v>
      </c>
    </row>
    <row r="26" spans="1:7" ht="11.25" customHeight="1">
      <c r="A26" s="302" t="s">
        <v>14</v>
      </c>
      <c r="B26" t="s">
        <v>3103</v>
      </c>
      <c r="C26" t="s">
        <v>3104</v>
      </c>
      <c r="D26" t="s">
        <v>3107</v>
      </c>
      <c r="E26" t="s">
        <v>3108</v>
      </c>
      <c r="F26" t="s">
        <v>3061</v>
      </c>
      <c r="G26" t="s">
        <v>1693</v>
      </c>
    </row>
    <row r="27" spans="1:7" ht="11.25" customHeight="1">
      <c r="A27" s="302" t="s">
        <v>14</v>
      </c>
      <c r="B27" t="s">
        <v>3103</v>
      </c>
      <c r="C27" t="s">
        <v>3104</v>
      </c>
      <c r="D27" t="s">
        <v>3103</v>
      </c>
      <c r="E27" t="s">
        <v>3104</v>
      </c>
      <c r="F27" t="s">
        <v>3060</v>
      </c>
      <c r="G27" t="s">
        <v>1698</v>
      </c>
    </row>
    <row r="28" spans="1:7" ht="11.25" customHeight="1">
      <c r="A28" s="302" t="s">
        <v>14</v>
      </c>
      <c r="B28" t="s">
        <v>3103</v>
      </c>
      <c r="C28" t="s">
        <v>3104</v>
      </c>
      <c r="D28" t="s">
        <v>3109</v>
      </c>
      <c r="E28" t="s">
        <v>3110</v>
      </c>
      <c r="F28" t="s">
        <v>3072</v>
      </c>
      <c r="G28" t="s">
        <v>1706</v>
      </c>
    </row>
    <row r="29" spans="1:7" ht="11.25" customHeight="1">
      <c r="A29" s="302" t="s">
        <v>14</v>
      </c>
      <c r="B29" t="s">
        <v>3103</v>
      </c>
      <c r="C29" t="s">
        <v>3104</v>
      </c>
      <c r="D29" t="s">
        <v>3111</v>
      </c>
      <c r="E29" t="s">
        <v>3112</v>
      </c>
      <c r="F29" t="s">
        <v>3064</v>
      </c>
      <c r="G29" t="s">
        <v>1708</v>
      </c>
    </row>
    <row r="30" spans="1:7" ht="11.25" customHeight="1">
      <c r="A30" s="302" t="s">
        <v>14</v>
      </c>
      <c r="B30" t="s">
        <v>3103</v>
      </c>
      <c r="C30" t="s">
        <v>3104</v>
      </c>
      <c r="D30" t="s">
        <v>3113</v>
      </c>
      <c r="E30" t="s">
        <v>3114</v>
      </c>
      <c r="F30" t="s">
        <v>3064</v>
      </c>
      <c r="G30" t="s">
        <v>1711</v>
      </c>
    </row>
    <row r="31" spans="1:7" ht="11.25" customHeight="1">
      <c r="A31" s="302" t="s">
        <v>14</v>
      </c>
      <c r="B31" t="s">
        <v>3103</v>
      </c>
      <c r="C31" t="s">
        <v>3104</v>
      </c>
      <c r="D31" t="s">
        <v>3115</v>
      </c>
      <c r="E31" t="s">
        <v>3116</v>
      </c>
      <c r="F31" t="s">
        <v>3064</v>
      </c>
      <c r="G31" t="s">
        <v>1716</v>
      </c>
    </row>
    <row r="32" spans="1:7" ht="11.25" customHeight="1">
      <c r="A32" s="302" t="s">
        <v>14</v>
      </c>
      <c r="B32" t="s">
        <v>3103</v>
      </c>
      <c r="C32" t="s">
        <v>3104</v>
      </c>
      <c r="D32" t="s">
        <v>3117</v>
      </c>
      <c r="E32" t="s">
        <v>3118</v>
      </c>
      <c r="F32" t="s">
        <v>3064</v>
      </c>
      <c r="G32" t="s">
        <v>1718</v>
      </c>
    </row>
    <row r="33" spans="1:7" ht="11.25" customHeight="1">
      <c r="A33" s="302" t="s">
        <v>14</v>
      </c>
      <c r="B33" t="s">
        <v>3103</v>
      </c>
      <c r="C33" t="s">
        <v>3104</v>
      </c>
      <c r="D33" t="s">
        <v>3119</v>
      </c>
      <c r="E33" t="s">
        <v>3120</v>
      </c>
      <c r="F33" t="s">
        <v>3064</v>
      </c>
      <c r="G33" t="s">
        <v>1720</v>
      </c>
    </row>
    <row r="34" spans="1:7" ht="11.25" customHeight="1">
      <c r="A34" s="302" t="s">
        <v>14</v>
      </c>
      <c r="B34" t="s">
        <v>131</v>
      </c>
      <c r="C34" t="s">
        <v>3121</v>
      </c>
      <c r="D34" t="s">
        <v>3122</v>
      </c>
      <c r="E34" t="s">
        <v>3123</v>
      </c>
      <c r="F34" t="s">
        <v>3064</v>
      </c>
      <c r="G34" t="s">
        <v>1722</v>
      </c>
    </row>
    <row r="35" spans="1:7" ht="11.25" customHeight="1">
      <c r="A35" s="302" t="s">
        <v>14</v>
      </c>
      <c r="B35" t="s">
        <v>131</v>
      </c>
      <c r="C35" t="s">
        <v>3121</v>
      </c>
      <c r="D35" t="s">
        <v>3124</v>
      </c>
      <c r="E35" t="s">
        <v>3125</v>
      </c>
      <c r="F35" t="s">
        <v>3064</v>
      </c>
      <c r="G35" t="s">
        <v>1727</v>
      </c>
    </row>
    <row r="36" spans="1:7" ht="11.25" customHeight="1">
      <c r="A36" s="302" t="s">
        <v>14</v>
      </c>
      <c r="B36" t="s">
        <v>131</v>
      </c>
      <c r="C36" t="s">
        <v>3121</v>
      </c>
      <c r="D36" t="s">
        <v>3126</v>
      </c>
      <c r="E36" t="s">
        <v>3127</v>
      </c>
      <c r="F36" t="s">
        <v>3064</v>
      </c>
      <c r="G36" t="s">
        <v>1732</v>
      </c>
    </row>
    <row r="37" spans="1:7" ht="11.25" customHeight="1">
      <c r="A37" s="302" t="s">
        <v>14</v>
      </c>
      <c r="B37" t="s">
        <v>131</v>
      </c>
      <c r="C37" t="s">
        <v>3121</v>
      </c>
      <c r="D37" t="s">
        <v>131</v>
      </c>
      <c r="E37" t="s">
        <v>3121</v>
      </c>
      <c r="F37" t="s">
        <v>3060</v>
      </c>
      <c r="G37" t="s">
        <v>1736</v>
      </c>
    </row>
    <row r="38" spans="1:7" ht="11.25" customHeight="1">
      <c r="A38" s="302" t="s">
        <v>14</v>
      </c>
      <c r="B38" t="s">
        <v>131</v>
      </c>
      <c r="C38" t="s">
        <v>3121</v>
      </c>
      <c r="D38" t="s">
        <v>132</v>
      </c>
      <c r="E38" t="s">
        <v>133</v>
      </c>
      <c r="F38" t="s">
        <v>3061</v>
      </c>
      <c r="G38" t="s">
        <v>130</v>
      </c>
    </row>
    <row r="39" spans="1:7" ht="11.25" customHeight="1">
      <c r="A39" s="302" t="s">
        <v>14</v>
      </c>
      <c r="B39" t="s">
        <v>131</v>
      </c>
      <c r="C39" t="s">
        <v>3121</v>
      </c>
      <c r="D39" t="s">
        <v>3128</v>
      </c>
      <c r="E39" t="s">
        <v>3129</v>
      </c>
      <c r="F39" t="s">
        <v>3064</v>
      </c>
      <c r="G39" t="s">
        <v>1749</v>
      </c>
    </row>
    <row r="40" spans="1:7" ht="11.25" customHeight="1">
      <c r="A40" s="302" t="s">
        <v>14</v>
      </c>
      <c r="B40" t="s">
        <v>131</v>
      </c>
      <c r="C40" t="s">
        <v>3121</v>
      </c>
      <c r="D40" t="s">
        <v>3130</v>
      </c>
      <c r="E40" t="s">
        <v>3131</v>
      </c>
      <c r="F40" t="s">
        <v>3064</v>
      </c>
      <c r="G40" t="s">
        <v>1754</v>
      </c>
    </row>
    <row r="41" spans="1:7" ht="11.25" customHeight="1">
      <c r="A41" s="302" t="s">
        <v>14</v>
      </c>
      <c r="B41" t="s">
        <v>131</v>
      </c>
      <c r="C41" t="s">
        <v>3121</v>
      </c>
      <c r="D41" t="s">
        <v>3132</v>
      </c>
      <c r="E41" t="s">
        <v>3133</v>
      </c>
      <c r="F41" t="s">
        <v>3064</v>
      </c>
      <c r="G41" t="s">
        <v>1758</v>
      </c>
    </row>
    <row r="42" spans="1:7" ht="11.25" customHeight="1">
      <c r="A42" s="302" t="s">
        <v>14</v>
      </c>
      <c r="B42" t="s">
        <v>131</v>
      </c>
      <c r="C42" t="s">
        <v>3121</v>
      </c>
      <c r="D42" t="s">
        <v>135</v>
      </c>
      <c r="E42" t="s">
        <v>136</v>
      </c>
      <c r="F42" t="s">
        <v>3061</v>
      </c>
      <c r="G42" t="s">
        <v>134</v>
      </c>
    </row>
    <row r="43" spans="1:7" ht="11.25" customHeight="1">
      <c r="A43" s="302" t="s">
        <v>14</v>
      </c>
      <c r="B43" t="s">
        <v>165</v>
      </c>
      <c r="C43" t="s">
        <v>3134</v>
      </c>
      <c r="D43" t="s">
        <v>3135</v>
      </c>
      <c r="E43" t="s">
        <v>3136</v>
      </c>
      <c r="F43" t="s">
        <v>3064</v>
      </c>
      <c r="G43" t="s">
        <v>1767</v>
      </c>
    </row>
    <row r="44" spans="1:7" ht="11.25" customHeight="1">
      <c r="A44" s="302" t="s">
        <v>14</v>
      </c>
      <c r="B44" t="s">
        <v>165</v>
      </c>
      <c r="C44" t="s">
        <v>3134</v>
      </c>
      <c r="D44" t="s">
        <v>3137</v>
      </c>
      <c r="E44" t="s">
        <v>3138</v>
      </c>
      <c r="F44" t="s">
        <v>3064</v>
      </c>
      <c r="G44" t="s">
        <v>1776</v>
      </c>
    </row>
    <row r="45" spans="1:7" ht="11.25" customHeight="1">
      <c r="A45" s="302" t="s">
        <v>14</v>
      </c>
      <c r="B45" t="s">
        <v>165</v>
      </c>
      <c r="C45" t="s">
        <v>3134</v>
      </c>
      <c r="D45" t="s">
        <v>3139</v>
      </c>
      <c r="E45" t="s">
        <v>3140</v>
      </c>
      <c r="F45" t="s">
        <v>3064</v>
      </c>
      <c r="G45" t="s">
        <v>1781</v>
      </c>
    </row>
    <row r="46" spans="1:7" ht="11.25" customHeight="1">
      <c r="A46" s="302" t="s">
        <v>14</v>
      </c>
      <c r="B46" t="s">
        <v>165</v>
      </c>
      <c r="C46" t="s">
        <v>3134</v>
      </c>
      <c r="D46" t="s">
        <v>165</v>
      </c>
      <c r="E46" t="s">
        <v>3134</v>
      </c>
      <c r="F46" t="s">
        <v>3060</v>
      </c>
      <c r="G46" t="s">
        <v>1785</v>
      </c>
    </row>
    <row r="47" spans="1:7" ht="11.25" customHeight="1">
      <c r="A47" s="302" t="s">
        <v>14</v>
      </c>
      <c r="B47" t="s">
        <v>165</v>
      </c>
      <c r="C47" t="s">
        <v>3134</v>
      </c>
      <c r="D47" t="s">
        <v>166</v>
      </c>
      <c r="E47" t="s">
        <v>167</v>
      </c>
      <c r="F47" t="s">
        <v>3061</v>
      </c>
      <c r="G47" t="s">
        <v>164</v>
      </c>
    </row>
    <row r="48" spans="1:7" ht="11.25" customHeight="1">
      <c r="A48" s="302" t="s">
        <v>14</v>
      </c>
      <c r="B48" t="s">
        <v>165</v>
      </c>
      <c r="C48" t="s">
        <v>3134</v>
      </c>
      <c r="D48" t="s">
        <v>3141</v>
      </c>
      <c r="E48" t="s">
        <v>3142</v>
      </c>
      <c r="F48" t="s">
        <v>3064</v>
      </c>
      <c r="G48" t="s">
        <v>1795</v>
      </c>
    </row>
    <row r="49" spans="1:7" ht="11.25" customHeight="1">
      <c r="A49" s="302" t="s">
        <v>14</v>
      </c>
      <c r="B49" t="s">
        <v>165</v>
      </c>
      <c r="C49" t="s">
        <v>3134</v>
      </c>
      <c r="D49" t="s">
        <v>3143</v>
      </c>
      <c r="E49" t="s">
        <v>3144</v>
      </c>
      <c r="F49" t="s">
        <v>3064</v>
      </c>
      <c r="G49" t="s">
        <v>1798</v>
      </c>
    </row>
    <row r="50" spans="1:7" ht="11.25" customHeight="1">
      <c r="A50" s="302" t="s">
        <v>14</v>
      </c>
      <c r="B50" t="s">
        <v>125</v>
      </c>
      <c r="C50" t="s">
        <v>3145</v>
      </c>
      <c r="D50" t="s">
        <v>3146</v>
      </c>
      <c r="E50" t="s">
        <v>3147</v>
      </c>
      <c r="F50" t="s">
        <v>3064</v>
      </c>
      <c r="G50" t="s">
        <v>1802</v>
      </c>
    </row>
    <row r="51" spans="1:7" ht="11.25" customHeight="1">
      <c r="A51" s="302" t="s">
        <v>14</v>
      </c>
      <c r="B51" t="s">
        <v>125</v>
      </c>
      <c r="C51" t="s">
        <v>3145</v>
      </c>
      <c r="D51" t="s">
        <v>3148</v>
      </c>
      <c r="E51" t="s">
        <v>3149</v>
      </c>
      <c r="F51" t="s">
        <v>3064</v>
      </c>
      <c r="G51" t="s">
        <v>1806</v>
      </c>
    </row>
    <row r="52" spans="1:7" ht="11.25" customHeight="1">
      <c r="A52" s="302" t="s">
        <v>14</v>
      </c>
      <c r="B52" t="s">
        <v>125</v>
      </c>
      <c r="C52" t="s">
        <v>3145</v>
      </c>
      <c r="D52" t="s">
        <v>3150</v>
      </c>
      <c r="E52" t="s">
        <v>3151</v>
      </c>
      <c r="F52" t="s">
        <v>3064</v>
      </c>
      <c r="G52" t="s">
        <v>1810</v>
      </c>
    </row>
    <row r="53" spans="1:7" ht="11.25" customHeight="1">
      <c r="A53" s="302" t="s">
        <v>14</v>
      </c>
      <c r="B53" t="s">
        <v>125</v>
      </c>
      <c r="C53" t="s">
        <v>3145</v>
      </c>
      <c r="D53" t="s">
        <v>3152</v>
      </c>
      <c r="E53" t="s">
        <v>3153</v>
      </c>
      <c r="F53" t="s">
        <v>3061</v>
      </c>
      <c r="G53" t="s">
        <v>1812</v>
      </c>
    </row>
    <row r="54" spans="1:7" ht="11.25" customHeight="1">
      <c r="A54" s="302" t="s">
        <v>14</v>
      </c>
      <c r="B54" t="s">
        <v>125</v>
      </c>
      <c r="C54" t="s">
        <v>3145</v>
      </c>
      <c r="D54" t="s">
        <v>125</v>
      </c>
      <c r="E54" t="s">
        <v>3145</v>
      </c>
      <c r="F54" t="s">
        <v>3060</v>
      </c>
      <c r="G54" t="s">
        <v>1815</v>
      </c>
    </row>
    <row r="55" spans="1:7" ht="11.25" customHeight="1">
      <c r="A55" s="302" t="s">
        <v>14</v>
      </c>
      <c r="B55" t="s">
        <v>125</v>
      </c>
      <c r="C55" t="s">
        <v>3145</v>
      </c>
      <c r="D55" t="s">
        <v>126</v>
      </c>
      <c r="E55" t="s">
        <v>127</v>
      </c>
      <c r="F55" t="s">
        <v>3061</v>
      </c>
      <c r="G55" t="s">
        <v>124</v>
      </c>
    </row>
    <row r="56" spans="1:7" ht="11.25" customHeight="1">
      <c r="A56" s="302" t="s">
        <v>14</v>
      </c>
      <c r="B56" t="s">
        <v>125</v>
      </c>
      <c r="C56" t="s">
        <v>3145</v>
      </c>
      <c r="D56" t="s">
        <v>3154</v>
      </c>
      <c r="E56" t="s">
        <v>3155</v>
      </c>
      <c r="F56" t="s">
        <v>3064</v>
      </c>
      <c r="G56" t="s">
        <v>1821</v>
      </c>
    </row>
    <row r="57" spans="1:7" ht="11.25" customHeight="1">
      <c r="A57" s="302" t="s">
        <v>14</v>
      </c>
      <c r="B57" t="s">
        <v>125</v>
      </c>
      <c r="C57" t="s">
        <v>3145</v>
      </c>
      <c r="D57" t="s">
        <v>3156</v>
      </c>
      <c r="E57" t="s">
        <v>3157</v>
      </c>
      <c r="F57" t="s">
        <v>3064</v>
      </c>
      <c r="G57" t="s">
        <v>1824</v>
      </c>
    </row>
    <row r="58" spans="1:7" ht="11.25" customHeight="1">
      <c r="A58" s="302" t="s">
        <v>14</v>
      </c>
      <c r="B58" t="s">
        <v>3158</v>
      </c>
      <c r="C58" t="s">
        <v>3159</v>
      </c>
      <c r="D58" t="s">
        <v>3160</v>
      </c>
      <c r="E58" t="s">
        <v>3161</v>
      </c>
      <c r="F58" t="s">
        <v>3064</v>
      </c>
      <c r="G58" t="s">
        <v>1827</v>
      </c>
    </row>
    <row r="59" spans="1:7" ht="11.25" customHeight="1">
      <c r="A59" s="302" t="s">
        <v>14</v>
      </c>
      <c r="B59" t="s">
        <v>3158</v>
      </c>
      <c r="C59" t="s">
        <v>3159</v>
      </c>
      <c r="D59" t="s">
        <v>3158</v>
      </c>
      <c r="E59" t="s">
        <v>3159</v>
      </c>
      <c r="F59" t="s">
        <v>3060</v>
      </c>
      <c r="G59" t="s">
        <v>1831</v>
      </c>
    </row>
    <row r="60" spans="1:7" ht="11.25" customHeight="1">
      <c r="A60" s="302" t="s">
        <v>14</v>
      </c>
      <c r="B60" t="s">
        <v>3158</v>
      </c>
      <c r="C60" t="s">
        <v>3159</v>
      </c>
      <c r="D60" t="s">
        <v>3162</v>
      </c>
      <c r="E60" t="s">
        <v>3163</v>
      </c>
      <c r="F60" t="s">
        <v>3061</v>
      </c>
      <c r="G60" t="s">
        <v>1834</v>
      </c>
    </row>
    <row r="61" spans="1:7" ht="11.25" customHeight="1">
      <c r="A61" s="302" t="s">
        <v>14</v>
      </c>
      <c r="B61" t="s">
        <v>3158</v>
      </c>
      <c r="C61" t="s">
        <v>3159</v>
      </c>
      <c r="D61" t="s">
        <v>3164</v>
      </c>
      <c r="E61" t="s">
        <v>3165</v>
      </c>
      <c r="F61" t="s">
        <v>3064</v>
      </c>
      <c r="G61" t="s">
        <v>3166</v>
      </c>
    </row>
    <row r="62" spans="1:7" ht="11.25" customHeight="1">
      <c r="A62" s="302" t="s">
        <v>14</v>
      </c>
      <c r="B62" t="s">
        <v>3158</v>
      </c>
      <c r="C62" t="s">
        <v>3159</v>
      </c>
      <c r="D62" t="s">
        <v>3167</v>
      </c>
      <c r="E62" t="s">
        <v>3168</v>
      </c>
      <c r="F62" t="s">
        <v>3061</v>
      </c>
      <c r="G62" t="s">
        <v>3169</v>
      </c>
    </row>
    <row r="63" spans="1:7" ht="11.25" customHeight="1">
      <c r="A63" s="302" t="s">
        <v>14</v>
      </c>
      <c r="B63" t="s">
        <v>3158</v>
      </c>
      <c r="C63" t="s">
        <v>3159</v>
      </c>
      <c r="D63" t="s">
        <v>3170</v>
      </c>
      <c r="E63" t="s">
        <v>3171</v>
      </c>
      <c r="F63" t="s">
        <v>3064</v>
      </c>
      <c r="G63" t="s">
        <v>3172</v>
      </c>
    </row>
    <row r="64" spans="1:7" ht="11.25" customHeight="1">
      <c r="A64" s="302" t="s">
        <v>14</v>
      </c>
      <c r="B64" t="s">
        <v>3158</v>
      </c>
      <c r="C64" t="s">
        <v>3159</v>
      </c>
      <c r="D64" t="s">
        <v>3173</v>
      </c>
      <c r="E64" t="s">
        <v>3174</v>
      </c>
      <c r="F64" t="s">
        <v>3064</v>
      </c>
      <c r="G64" t="s">
        <v>3175</v>
      </c>
    </row>
    <row r="65" spans="1:7" ht="11.25" customHeight="1">
      <c r="A65" s="302" t="s">
        <v>14</v>
      </c>
      <c r="B65" t="s">
        <v>3158</v>
      </c>
      <c r="C65" t="s">
        <v>3159</v>
      </c>
      <c r="D65" t="s">
        <v>3176</v>
      </c>
      <c r="E65" t="s">
        <v>3177</v>
      </c>
      <c r="F65" t="s">
        <v>3064</v>
      </c>
      <c r="G65" t="s">
        <v>3178</v>
      </c>
    </row>
    <row r="66" spans="1:7" ht="11.25" customHeight="1">
      <c r="A66" s="302" t="s">
        <v>14</v>
      </c>
      <c r="B66" t="s">
        <v>3158</v>
      </c>
      <c r="C66" t="s">
        <v>3159</v>
      </c>
      <c r="D66" t="s">
        <v>3179</v>
      </c>
      <c r="E66" t="s">
        <v>3180</v>
      </c>
      <c r="F66" t="s">
        <v>3064</v>
      </c>
      <c r="G66" t="s">
        <v>3181</v>
      </c>
    </row>
    <row r="67" spans="1:7" ht="11.25" customHeight="1">
      <c r="A67" s="302" t="s">
        <v>14</v>
      </c>
      <c r="B67" t="s">
        <v>154</v>
      </c>
      <c r="C67" t="s">
        <v>3182</v>
      </c>
      <c r="D67" t="s">
        <v>3183</v>
      </c>
      <c r="E67" t="s">
        <v>3184</v>
      </c>
      <c r="F67" t="s">
        <v>3064</v>
      </c>
      <c r="G67" t="s">
        <v>2055</v>
      </c>
    </row>
    <row r="68" spans="1:7" ht="11.25" customHeight="1">
      <c r="A68" s="302" t="s">
        <v>14</v>
      </c>
      <c r="B68" t="s">
        <v>154</v>
      </c>
      <c r="C68" t="s">
        <v>3182</v>
      </c>
      <c r="D68" t="s">
        <v>3185</v>
      </c>
      <c r="E68" t="s">
        <v>3186</v>
      </c>
      <c r="F68" t="s">
        <v>3064</v>
      </c>
      <c r="G68" t="s">
        <v>3187</v>
      </c>
    </row>
    <row r="69" spans="1:7" ht="11.25" customHeight="1">
      <c r="A69" s="302" t="s">
        <v>14</v>
      </c>
      <c r="B69" t="s">
        <v>154</v>
      </c>
      <c r="C69" t="s">
        <v>3182</v>
      </c>
      <c r="D69" t="s">
        <v>3188</v>
      </c>
      <c r="E69" t="s">
        <v>3189</v>
      </c>
      <c r="F69" t="s">
        <v>3064</v>
      </c>
      <c r="G69" t="s">
        <v>2266</v>
      </c>
    </row>
    <row r="70" spans="1:7" ht="11.25" customHeight="1">
      <c r="A70" s="302" t="s">
        <v>14</v>
      </c>
      <c r="B70" t="s">
        <v>154</v>
      </c>
      <c r="C70" t="s">
        <v>3182</v>
      </c>
      <c r="D70" t="s">
        <v>3190</v>
      </c>
      <c r="E70" t="s">
        <v>3191</v>
      </c>
      <c r="F70" t="s">
        <v>3064</v>
      </c>
      <c r="G70" t="s">
        <v>3192</v>
      </c>
    </row>
    <row r="71" spans="1:7" ht="11.25" customHeight="1">
      <c r="A71" s="302" t="s">
        <v>14</v>
      </c>
      <c r="B71" t="s">
        <v>154</v>
      </c>
      <c r="C71" t="s">
        <v>3182</v>
      </c>
      <c r="D71" t="s">
        <v>154</v>
      </c>
      <c r="E71" t="s">
        <v>3182</v>
      </c>
      <c r="F71" t="s">
        <v>3060</v>
      </c>
      <c r="G71" t="s">
        <v>3193</v>
      </c>
    </row>
    <row r="72" spans="1:7" ht="11.25" customHeight="1">
      <c r="A72" s="302" t="s">
        <v>14</v>
      </c>
      <c r="B72" t="s">
        <v>154</v>
      </c>
      <c r="C72" t="s">
        <v>3182</v>
      </c>
      <c r="D72" t="s">
        <v>155</v>
      </c>
      <c r="E72" t="s">
        <v>156</v>
      </c>
      <c r="F72" t="s">
        <v>3061</v>
      </c>
      <c r="G72" t="s">
        <v>153</v>
      </c>
    </row>
    <row r="73" spans="1:7" ht="11.25" customHeight="1">
      <c r="A73" s="302" t="s">
        <v>14</v>
      </c>
      <c r="B73" t="s">
        <v>154</v>
      </c>
      <c r="C73" t="s">
        <v>3182</v>
      </c>
      <c r="D73" t="s">
        <v>3194</v>
      </c>
      <c r="E73" t="s">
        <v>3195</v>
      </c>
      <c r="F73" t="s">
        <v>3064</v>
      </c>
      <c r="G73" t="s">
        <v>3196</v>
      </c>
    </row>
    <row r="74" spans="1:7" ht="11.25" customHeight="1">
      <c r="A74" s="302" t="s">
        <v>14</v>
      </c>
      <c r="B74" t="s">
        <v>154</v>
      </c>
      <c r="C74" t="s">
        <v>3182</v>
      </c>
      <c r="D74" t="s">
        <v>3197</v>
      </c>
      <c r="E74" t="s">
        <v>3198</v>
      </c>
      <c r="F74" t="s">
        <v>3064</v>
      </c>
      <c r="G74" t="s">
        <v>3199</v>
      </c>
    </row>
    <row r="75" spans="1:7" ht="11.25" customHeight="1">
      <c r="A75" s="302" t="s">
        <v>14</v>
      </c>
      <c r="B75" t="s">
        <v>154</v>
      </c>
      <c r="C75" t="s">
        <v>3182</v>
      </c>
      <c r="D75" t="s">
        <v>3200</v>
      </c>
      <c r="E75" t="s">
        <v>3201</v>
      </c>
      <c r="F75" t="s">
        <v>3064</v>
      </c>
      <c r="G75" t="s">
        <v>3202</v>
      </c>
    </row>
    <row r="76" spans="1:7" ht="11.25" customHeight="1">
      <c r="A76" s="302" t="s">
        <v>14</v>
      </c>
      <c r="B76" t="s">
        <v>154</v>
      </c>
      <c r="C76" t="s">
        <v>3182</v>
      </c>
      <c r="D76" t="s">
        <v>3203</v>
      </c>
      <c r="E76" t="s">
        <v>3204</v>
      </c>
      <c r="F76" t="s">
        <v>3064</v>
      </c>
      <c r="G76" t="s">
        <v>3205</v>
      </c>
    </row>
    <row r="77" spans="1:7" ht="11.25" customHeight="1">
      <c r="A77" s="302" t="s">
        <v>14</v>
      </c>
      <c r="B77" t="s">
        <v>3206</v>
      </c>
      <c r="C77" t="s">
        <v>3207</v>
      </c>
      <c r="D77" t="s">
        <v>3208</v>
      </c>
      <c r="E77" t="s">
        <v>3209</v>
      </c>
      <c r="F77" t="s">
        <v>3064</v>
      </c>
      <c r="G77" t="s">
        <v>3210</v>
      </c>
    </row>
    <row r="78" spans="1:7" ht="11.25" customHeight="1">
      <c r="A78" s="302" t="s">
        <v>14</v>
      </c>
      <c r="B78" t="s">
        <v>3206</v>
      </c>
      <c r="C78" t="s">
        <v>3207</v>
      </c>
      <c r="D78" t="s">
        <v>3206</v>
      </c>
      <c r="E78" t="s">
        <v>3207</v>
      </c>
      <c r="F78" t="s">
        <v>3060</v>
      </c>
      <c r="G78" t="s">
        <v>3211</v>
      </c>
    </row>
    <row r="79" spans="1:7" ht="11.25" customHeight="1">
      <c r="A79" s="302" t="s">
        <v>14</v>
      </c>
      <c r="B79" t="s">
        <v>3206</v>
      </c>
      <c r="C79" t="s">
        <v>3207</v>
      </c>
      <c r="D79" t="s">
        <v>3212</v>
      </c>
      <c r="E79" t="s">
        <v>3213</v>
      </c>
      <c r="F79" t="s">
        <v>3064</v>
      </c>
      <c r="G79" t="s">
        <v>3214</v>
      </c>
    </row>
    <row r="80" spans="1:7" ht="11.25" customHeight="1">
      <c r="A80" s="302" t="s">
        <v>14</v>
      </c>
      <c r="B80" t="s">
        <v>3206</v>
      </c>
      <c r="C80" t="s">
        <v>3207</v>
      </c>
      <c r="D80" t="s">
        <v>3215</v>
      </c>
      <c r="E80" t="s">
        <v>3216</v>
      </c>
      <c r="F80" t="s">
        <v>3064</v>
      </c>
      <c r="G80" t="s">
        <v>3217</v>
      </c>
    </row>
    <row r="81" spans="1:7" ht="11.25" customHeight="1">
      <c r="A81" s="302" t="s">
        <v>14</v>
      </c>
      <c r="B81" t="s">
        <v>3206</v>
      </c>
      <c r="C81" t="s">
        <v>3207</v>
      </c>
      <c r="D81" t="s">
        <v>3218</v>
      </c>
      <c r="E81" t="s">
        <v>3219</v>
      </c>
      <c r="F81" t="s">
        <v>3064</v>
      </c>
      <c r="G81" t="s">
        <v>3220</v>
      </c>
    </row>
    <row r="82" spans="1:7" ht="11.25" customHeight="1">
      <c r="A82" s="302" t="s">
        <v>14</v>
      </c>
      <c r="B82" t="s">
        <v>3206</v>
      </c>
      <c r="C82" t="s">
        <v>3207</v>
      </c>
      <c r="D82" t="s">
        <v>3221</v>
      </c>
      <c r="E82" t="s">
        <v>3222</v>
      </c>
      <c r="F82" t="s">
        <v>3064</v>
      </c>
      <c r="G82" t="s">
        <v>3223</v>
      </c>
    </row>
    <row r="83" spans="1:7" ht="11.25" customHeight="1">
      <c r="A83" s="302" t="s">
        <v>14</v>
      </c>
      <c r="B83" t="s">
        <v>3224</v>
      </c>
      <c r="C83" t="s">
        <v>3225</v>
      </c>
      <c r="D83" t="s">
        <v>3226</v>
      </c>
      <c r="E83" t="s">
        <v>3227</v>
      </c>
      <c r="F83" t="s">
        <v>3064</v>
      </c>
      <c r="G83" t="s">
        <v>3228</v>
      </c>
    </row>
    <row r="84" spans="1:7" ht="11.25" customHeight="1">
      <c r="A84" s="302" t="s">
        <v>14</v>
      </c>
      <c r="B84" t="s">
        <v>3224</v>
      </c>
      <c r="C84" t="s">
        <v>3225</v>
      </c>
      <c r="D84" t="s">
        <v>3229</v>
      </c>
      <c r="E84" t="s">
        <v>3230</v>
      </c>
      <c r="F84" t="s">
        <v>3064</v>
      </c>
      <c r="G84" t="s">
        <v>3231</v>
      </c>
    </row>
    <row r="85" spans="1:7" ht="11.25" customHeight="1">
      <c r="A85" s="302" t="s">
        <v>14</v>
      </c>
      <c r="B85" t="s">
        <v>3224</v>
      </c>
      <c r="C85" t="s">
        <v>3225</v>
      </c>
      <c r="D85" t="s">
        <v>3224</v>
      </c>
      <c r="E85" t="s">
        <v>3225</v>
      </c>
      <c r="F85" t="s">
        <v>3060</v>
      </c>
      <c r="G85" t="s">
        <v>3232</v>
      </c>
    </row>
    <row r="86" spans="1:7" ht="11.25" customHeight="1">
      <c r="A86" s="302" t="s">
        <v>14</v>
      </c>
      <c r="B86" t="s">
        <v>3224</v>
      </c>
      <c r="C86" t="s">
        <v>3225</v>
      </c>
      <c r="D86" t="s">
        <v>3233</v>
      </c>
      <c r="E86" t="s">
        <v>3234</v>
      </c>
      <c r="F86" t="s">
        <v>3061</v>
      </c>
      <c r="G86" t="s">
        <v>3235</v>
      </c>
    </row>
    <row r="87" spans="1:7" ht="11.25" customHeight="1">
      <c r="A87" s="302" t="s">
        <v>14</v>
      </c>
      <c r="B87" t="s">
        <v>3224</v>
      </c>
      <c r="C87" t="s">
        <v>3225</v>
      </c>
      <c r="D87" t="s">
        <v>3236</v>
      </c>
      <c r="E87" t="s">
        <v>3237</v>
      </c>
      <c r="F87" t="s">
        <v>3064</v>
      </c>
      <c r="G87" t="s">
        <v>3238</v>
      </c>
    </row>
    <row r="88" spans="1:7" ht="11.25" customHeight="1">
      <c r="A88" s="302" t="s">
        <v>14</v>
      </c>
      <c r="B88" t="s">
        <v>3224</v>
      </c>
      <c r="C88" t="s">
        <v>3225</v>
      </c>
      <c r="D88" t="s">
        <v>3239</v>
      </c>
      <c r="E88" t="s">
        <v>3240</v>
      </c>
      <c r="F88" t="s">
        <v>3064</v>
      </c>
      <c r="G88" t="s">
        <v>3241</v>
      </c>
    </row>
    <row r="89" spans="1:7" ht="11.25" customHeight="1">
      <c r="A89" s="302" t="s">
        <v>14</v>
      </c>
      <c r="B89" t="s">
        <v>3224</v>
      </c>
      <c r="C89" t="s">
        <v>3225</v>
      </c>
      <c r="D89" t="s">
        <v>3242</v>
      </c>
      <c r="E89" t="s">
        <v>3243</v>
      </c>
      <c r="F89" t="s">
        <v>3064</v>
      </c>
      <c r="G89" t="s">
        <v>3244</v>
      </c>
    </row>
    <row r="90" spans="1:7" ht="11.25" customHeight="1">
      <c r="A90" s="302" t="s">
        <v>14</v>
      </c>
      <c r="B90" t="s">
        <v>144</v>
      </c>
      <c r="C90" t="s">
        <v>3245</v>
      </c>
      <c r="D90" t="s">
        <v>3246</v>
      </c>
      <c r="E90" t="s">
        <v>3247</v>
      </c>
      <c r="F90" t="s">
        <v>3064</v>
      </c>
      <c r="G90" t="s">
        <v>3248</v>
      </c>
    </row>
    <row r="91" spans="1:7" ht="11.25" customHeight="1">
      <c r="A91" s="302" t="s">
        <v>14</v>
      </c>
      <c r="B91" t="s">
        <v>144</v>
      </c>
      <c r="C91" t="s">
        <v>3245</v>
      </c>
      <c r="D91" t="s">
        <v>144</v>
      </c>
      <c r="E91" t="s">
        <v>3245</v>
      </c>
      <c r="F91" t="s">
        <v>3060</v>
      </c>
      <c r="G91" t="s">
        <v>3249</v>
      </c>
    </row>
    <row r="92" spans="1:7" ht="11.25" customHeight="1">
      <c r="A92" s="302" t="s">
        <v>14</v>
      </c>
      <c r="B92" t="s">
        <v>144</v>
      </c>
      <c r="C92" t="s">
        <v>3245</v>
      </c>
      <c r="D92" t="s">
        <v>145</v>
      </c>
      <c r="E92" t="s">
        <v>146</v>
      </c>
      <c r="F92" t="s">
        <v>3061</v>
      </c>
      <c r="G92" t="s">
        <v>143</v>
      </c>
    </row>
    <row r="93" spans="1:7" ht="11.25" customHeight="1">
      <c r="A93" s="302" t="s">
        <v>14</v>
      </c>
      <c r="B93" t="s">
        <v>144</v>
      </c>
      <c r="C93" t="s">
        <v>3245</v>
      </c>
      <c r="D93" t="s">
        <v>3250</v>
      </c>
      <c r="E93" t="s">
        <v>3251</v>
      </c>
      <c r="F93" t="s">
        <v>3064</v>
      </c>
      <c r="G93" t="s">
        <v>3252</v>
      </c>
    </row>
    <row r="94" spans="1:7" ht="11.25" customHeight="1">
      <c r="A94" s="302" t="s">
        <v>14</v>
      </c>
      <c r="B94" t="s">
        <v>144</v>
      </c>
      <c r="C94" t="s">
        <v>3245</v>
      </c>
      <c r="D94" t="s">
        <v>3253</v>
      </c>
      <c r="E94" t="s">
        <v>3254</v>
      </c>
      <c r="F94" t="s">
        <v>3064</v>
      </c>
      <c r="G94" t="s">
        <v>3255</v>
      </c>
    </row>
    <row r="95" spans="1:7" ht="11.25" customHeight="1">
      <c r="A95" s="302" t="s">
        <v>14</v>
      </c>
      <c r="B95" t="s">
        <v>144</v>
      </c>
      <c r="C95" t="s">
        <v>3245</v>
      </c>
      <c r="D95" t="s">
        <v>3256</v>
      </c>
      <c r="E95" t="s">
        <v>3257</v>
      </c>
      <c r="F95" t="s">
        <v>3064</v>
      </c>
      <c r="G95" t="s">
        <v>3258</v>
      </c>
    </row>
    <row r="96" spans="1:7" ht="11.25" customHeight="1">
      <c r="A96" s="302" t="s">
        <v>14</v>
      </c>
      <c r="B96" t="s">
        <v>144</v>
      </c>
      <c r="C96" t="s">
        <v>3245</v>
      </c>
      <c r="D96" t="s">
        <v>3259</v>
      </c>
      <c r="E96" t="s">
        <v>3260</v>
      </c>
      <c r="F96" t="s">
        <v>3064</v>
      </c>
      <c r="G96" t="s">
        <v>3261</v>
      </c>
    </row>
    <row r="97" spans="1:7" ht="11.25" customHeight="1">
      <c r="A97" s="302" t="s">
        <v>14</v>
      </c>
      <c r="B97" t="s">
        <v>3262</v>
      </c>
      <c r="C97" t="s">
        <v>3263</v>
      </c>
      <c r="D97" t="s">
        <v>3264</v>
      </c>
      <c r="E97" t="s">
        <v>3265</v>
      </c>
      <c r="F97" t="s">
        <v>3064</v>
      </c>
      <c r="G97" t="s">
        <v>3266</v>
      </c>
    </row>
    <row r="98" spans="1:7" ht="11.25" customHeight="1">
      <c r="A98" s="302" t="s">
        <v>14</v>
      </c>
      <c r="B98" t="s">
        <v>3262</v>
      </c>
      <c r="C98" t="s">
        <v>3263</v>
      </c>
      <c r="D98" t="s">
        <v>3267</v>
      </c>
      <c r="E98" t="s">
        <v>3268</v>
      </c>
      <c r="F98" t="s">
        <v>3064</v>
      </c>
      <c r="G98" t="s">
        <v>3269</v>
      </c>
    </row>
    <row r="99" spans="1:7" ht="11.25" customHeight="1">
      <c r="A99" s="302" t="s">
        <v>14</v>
      </c>
      <c r="B99" t="s">
        <v>3262</v>
      </c>
      <c r="C99" t="s">
        <v>3263</v>
      </c>
      <c r="D99" t="s">
        <v>3270</v>
      </c>
      <c r="E99" t="s">
        <v>3271</v>
      </c>
      <c r="F99" t="s">
        <v>3064</v>
      </c>
      <c r="G99" t="s">
        <v>3272</v>
      </c>
    </row>
    <row r="100" spans="1:7" ht="11.25" customHeight="1">
      <c r="A100" s="302" t="s">
        <v>14</v>
      </c>
      <c r="B100" t="s">
        <v>3262</v>
      </c>
      <c r="C100" t="s">
        <v>3263</v>
      </c>
      <c r="D100" t="s">
        <v>3273</v>
      </c>
      <c r="E100" t="s">
        <v>3274</v>
      </c>
      <c r="F100" t="s">
        <v>3064</v>
      </c>
      <c r="G100" t="s">
        <v>3275</v>
      </c>
    </row>
    <row r="101" spans="1:7" ht="11.25" customHeight="1">
      <c r="A101" s="302" t="s">
        <v>14</v>
      </c>
      <c r="B101" t="s">
        <v>3262</v>
      </c>
      <c r="C101" t="s">
        <v>3263</v>
      </c>
      <c r="D101" t="s">
        <v>3262</v>
      </c>
      <c r="E101" t="s">
        <v>3263</v>
      </c>
      <c r="F101" t="s">
        <v>3060</v>
      </c>
      <c r="G101" t="s">
        <v>3276</v>
      </c>
    </row>
    <row r="102" spans="1:7" ht="11.25" customHeight="1">
      <c r="A102" s="302" t="s">
        <v>14</v>
      </c>
      <c r="B102" t="s">
        <v>3262</v>
      </c>
      <c r="C102" t="s">
        <v>3263</v>
      </c>
      <c r="D102" t="s">
        <v>3277</v>
      </c>
      <c r="E102" t="s">
        <v>3278</v>
      </c>
      <c r="F102" t="s">
        <v>3061</v>
      </c>
      <c r="G102" t="s">
        <v>3279</v>
      </c>
    </row>
    <row r="103" spans="1:7" ht="11.25" customHeight="1">
      <c r="A103" s="302" t="s">
        <v>14</v>
      </c>
      <c r="B103" t="s">
        <v>98</v>
      </c>
      <c r="C103" t="s">
        <v>3280</v>
      </c>
      <c r="D103" t="s">
        <v>3281</v>
      </c>
      <c r="E103" t="s">
        <v>3282</v>
      </c>
      <c r="F103" t="s">
        <v>3064</v>
      </c>
      <c r="G103" t="s">
        <v>3283</v>
      </c>
    </row>
    <row r="104" spans="1:7" ht="11.25" customHeight="1">
      <c r="A104" s="302" t="s">
        <v>14</v>
      </c>
      <c r="B104" t="s">
        <v>98</v>
      </c>
      <c r="C104" t="s">
        <v>3280</v>
      </c>
      <c r="D104" t="s">
        <v>104</v>
      </c>
      <c r="E104" t="s">
        <v>105</v>
      </c>
      <c r="F104" t="s">
        <v>3061</v>
      </c>
      <c r="G104" t="s">
        <v>103</v>
      </c>
    </row>
    <row r="105" spans="1:7" ht="11.25" customHeight="1">
      <c r="A105" s="302" t="s">
        <v>14</v>
      </c>
      <c r="B105" t="s">
        <v>98</v>
      </c>
      <c r="C105" t="s">
        <v>3280</v>
      </c>
      <c r="D105" t="s">
        <v>3284</v>
      </c>
      <c r="E105" t="s">
        <v>3285</v>
      </c>
      <c r="F105" t="s">
        <v>3064</v>
      </c>
      <c r="G105" t="s">
        <v>3286</v>
      </c>
    </row>
    <row r="106" spans="1:7" ht="11.25" customHeight="1">
      <c r="A106" s="302" t="s">
        <v>14</v>
      </c>
      <c r="B106" t="s">
        <v>98</v>
      </c>
      <c r="C106" t="s">
        <v>3280</v>
      </c>
      <c r="D106" t="s">
        <v>98</v>
      </c>
      <c r="E106" t="s">
        <v>3280</v>
      </c>
      <c r="F106" t="s">
        <v>3060</v>
      </c>
      <c r="G106" t="s">
        <v>3287</v>
      </c>
    </row>
    <row r="107" spans="1:7" ht="11.25" customHeight="1">
      <c r="A107" s="302" t="s">
        <v>14</v>
      </c>
      <c r="B107" t="s">
        <v>98</v>
      </c>
      <c r="C107" t="s">
        <v>3280</v>
      </c>
      <c r="D107" t="s">
        <v>3288</v>
      </c>
      <c r="E107" t="s">
        <v>3289</v>
      </c>
      <c r="F107" t="s">
        <v>3072</v>
      </c>
      <c r="G107" t="s">
        <v>3290</v>
      </c>
    </row>
    <row r="108" spans="1:7" ht="11.25" customHeight="1">
      <c r="A108" s="302" t="s">
        <v>14</v>
      </c>
      <c r="B108" t="s">
        <v>98</v>
      </c>
      <c r="C108" t="s">
        <v>3280</v>
      </c>
      <c r="D108" t="s">
        <v>99</v>
      </c>
      <c r="E108" t="s">
        <v>100</v>
      </c>
      <c r="F108" t="s">
        <v>3061</v>
      </c>
      <c r="G108" t="s">
        <v>97</v>
      </c>
    </row>
    <row r="109" spans="1:7" ht="11.25" customHeight="1">
      <c r="A109" s="302" t="s">
        <v>14</v>
      </c>
      <c r="B109" t="s">
        <v>98</v>
      </c>
      <c r="C109" t="s">
        <v>3280</v>
      </c>
      <c r="D109" t="s">
        <v>3291</v>
      </c>
      <c r="E109" t="s">
        <v>3292</v>
      </c>
      <c r="F109" t="s">
        <v>3064</v>
      </c>
      <c r="G109" t="s">
        <v>3293</v>
      </c>
    </row>
    <row r="110" spans="1:7" ht="11.25" customHeight="1">
      <c r="A110" s="302" t="s">
        <v>14</v>
      </c>
      <c r="B110" t="s">
        <v>3294</v>
      </c>
      <c r="C110" t="s">
        <v>3295</v>
      </c>
      <c r="D110" t="s">
        <v>3296</v>
      </c>
      <c r="E110" t="s">
        <v>3297</v>
      </c>
      <c r="F110" t="s">
        <v>3064</v>
      </c>
      <c r="G110" t="s">
        <v>3298</v>
      </c>
    </row>
    <row r="111" spans="1:7" ht="11.25" customHeight="1">
      <c r="A111" s="302" t="s">
        <v>14</v>
      </c>
      <c r="B111" t="s">
        <v>3294</v>
      </c>
      <c r="C111" t="s">
        <v>3295</v>
      </c>
      <c r="D111" t="s">
        <v>3299</v>
      </c>
      <c r="E111" t="s">
        <v>3300</v>
      </c>
      <c r="F111" t="s">
        <v>3064</v>
      </c>
      <c r="G111" t="s">
        <v>3301</v>
      </c>
    </row>
    <row r="112" spans="1:7" ht="11.25" customHeight="1">
      <c r="A112" s="302" t="s">
        <v>14</v>
      </c>
      <c r="B112" t="s">
        <v>3294</v>
      </c>
      <c r="C112" t="s">
        <v>3295</v>
      </c>
      <c r="D112" t="s">
        <v>3302</v>
      </c>
      <c r="E112" t="s">
        <v>3303</v>
      </c>
      <c r="F112" t="s">
        <v>3064</v>
      </c>
      <c r="G112" t="s">
        <v>3304</v>
      </c>
    </row>
    <row r="113" spans="1:7" ht="11.25" customHeight="1">
      <c r="A113" s="302" t="s">
        <v>14</v>
      </c>
      <c r="B113" t="s">
        <v>3294</v>
      </c>
      <c r="C113" t="s">
        <v>3295</v>
      </c>
      <c r="D113" t="s">
        <v>3294</v>
      </c>
      <c r="E113" t="s">
        <v>3295</v>
      </c>
      <c r="F113" t="s">
        <v>3060</v>
      </c>
      <c r="G113" t="s">
        <v>3305</v>
      </c>
    </row>
    <row r="114" spans="1:7" ht="11.25" customHeight="1">
      <c r="A114" s="302" t="s">
        <v>14</v>
      </c>
      <c r="B114" t="s">
        <v>3294</v>
      </c>
      <c r="C114" t="s">
        <v>3295</v>
      </c>
      <c r="D114" t="s">
        <v>3306</v>
      </c>
      <c r="E114" t="s">
        <v>3307</v>
      </c>
      <c r="F114" t="s">
        <v>3061</v>
      </c>
      <c r="G114" t="s">
        <v>3308</v>
      </c>
    </row>
    <row r="115" spans="1:7" ht="11.25" customHeight="1">
      <c r="A115" s="302" t="s">
        <v>14</v>
      </c>
      <c r="B115" t="s">
        <v>3294</v>
      </c>
      <c r="C115" t="s">
        <v>3295</v>
      </c>
      <c r="D115" t="s">
        <v>3309</v>
      </c>
      <c r="E115" t="s">
        <v>3310</v>
      </c>
      <c r="F115" t="s">
        <v>3064</v>
      </c>
      <c r="G115" t="s">
        <v>3311</v>
      </c>
    </row>
    <row r="116" spans="1:7" ht="11.25" customHeight="1">
      <c r="A116" s="302" t="s">
        <v>14</v>
      </c>
      <c r="B116" t="s">
        <v>3312</v>
      </c>
      <c r="C116" t="s">
        <v>3313</v>
      </c>
      <c r="D116" t="s">
        <v>3314</v>
      </c>
      <c r="E116" t="s">
        <v>3315</v>
      </c>
      <c r="F116" t="s">
        <v>3064</v>
      </c>
      <c r="G116" t="s">
        <v>3316</v>
      </c>
    </row>
    <row r="117" spans="1:7" ht="11.25" customHeight="1">
      <c r="A117" s="302" t="s">
        <v>14</v>
      </c>
      <c r="B117" t="s">
        <v>3312</v>
      </c>
      <c r="C117" t="s">
        <v>3313</v>
      </c>
      <c r="D117" t="s">
        <v>3317</v>
      </c>
      <c r="E117" t="s">
        <v>3318</v>
      </c>
      <c r="F117" t="s">
        <v>3064</v>
      </c>
      <c r="G117" t="s">
        <v>3319</v>
      </c>
    </row>
    <row r="118" spans="1:7" ht="11.25" customHeight="1">
      <c r="A118" s="302" t="s">
        <v>14</v>
      </c>
      <c r="B118" t="s">
        <v>3312</v>
      </c>
      <c r="C118" t="s">
        <v>3313</v>
      </c>
      <c r="D118" t="s">
        <v>3320</v>
      </c>
      <c r="E118" t="s">
        <v>3321</v>
      </c>
      <c r="F118" t="s">
        <v>3064</v>
      </c>
      <c r="G118" t="s">
        <v>3322</v>
      </c>
    </row>
    <row r="119" spans="1:7" ht="11.25" customHeight="1">
      <c r="A119" s="302" t="s">
        <v>14</v>
      </c>
      <c r="B119" t="s">
        <v>3312</v>
      </c>
      <c r="C119" t="s">
        <v>3313</v>
      </c>
      <c r="D119" t="s">
        <v>3323</v>
      </c>
      <c r="E119" t="s">
        <v>3324</v>
      </c>
      <c r="F119" t="s">
        <v>3064</v>
      </c>
      <c r="G119" t="s">
        <v>3325</v>
      </c>
    </row>
    <row r="120" spans="1:7" ht="11.25" customHeight="1">
      <c r="A120" s="302" t="s">
        <v>14</v>
      </c>
      <c r="B120" t="s">
        <v>3312</v>
      </c>
      <c r="C120" t="s">
        <v>3313</v>
      </c>
      <c r="D120" t="s">
        <v>3326</v>
      </c>
      <c r="E120" t="s">
        <v>3327</v>
      </c>
      <c r="F120" t="s">
        <v>3064</v>
      </c>
      <c r="G120" t="s">
        <v>3328</v>
      </c>
    </row>
    <row r="121" spans="1:7" ht="11.25" customHeight="1">
      <c r="A121" s="302" t="s">
        <v>14</v>
      </c>
      <c r="B121" t="s">
        <v>3312</v>
      </c>
      <c r="C121" t="s">
        <v>3313</v>
      </c>
      <c r="D121" t="s">
        <v>3312</v>
      </c>
      <c r="E121" t="s">
        <v>3313</v>
      </c>
      <c r="F121" t="s">
        <v>3060</v>
      </c>
      <c r="G121" t="s">
        <v>3329</v>
      </c>
    </row>
    <row r="122" spans="1:7" ht="11.25" customHeight="1">
      <c r="A122" s="302" t="s">
        <v>14</v>
      </c>
      <c r="B122" t="s">
        <v>3312</v>
      </c>
      <c r="C122" t="s">
        <v>3313</v>
      </c>
      <c r="D122" t="s">
        <v>3330</v>
      </c>
      <c r="E122" t="s">
        <v>3331</v>
      </c>
      <c r="F122" t="s">
        <v>3061</v>
      </c>
      <c r="G122" t="s">
        <v>3332</v>
      </c>
    </row>
    <row r="123" spans="1:7" ht="11.25" customHeight="1">
      <c r="A123" s="302" t="s">
        <v>14</v>
      </c>
      <c r="B123" t="s">
        <v>3312</v>
      </c>
      <c r="C123" t="s">
        <v>3313</v>
      </c>
      <c r="D123" t="s">
        <v>3333</v>
      </c>
      <c r="E123" t="s">
        <v>3334</v>
      </c>
      <c r="F123" t="s">
        <v>3064</v>
      </c>
      <c r="G123" t="s">
        <v>3335</v>
      </c>
    </row>
    <row r="124" spans="1:7" ht="11.25" customHeight="1">
      <c r="A124" s="302" t="s">
        <v>14</v>
      </c>
      <c r="B124" t="s">
        <v>3336</v>
      </c>
      <c r="C124" t="s">
        <v>3337</v>
      </c>
      <c r="D124" t="s">
        <v>3338</v>
      </c>
      <c r="E124" t="s">
        <v>3339</v>
      </c>
      <c r="F124" t="s">
        <v>3064</v>
      </c>
      <c r="G124" t="s">
        <v>3340</v>
      </c>
    </row>
    <row r="125" spans="1:7" ht="11.25" customHeight="1">
      <c r="A125" s="302" t="s">
        <v>14</v>
      </c>
      <c r="B125" t="s">
        <v>3336</v>
      </c>
      <c r="C125" t="s">
        <v>3337</v>
      </c>
      <c r="D125" t="s">
        <v>3341</v>
      </c>
      <c r="E125" t="s">
        <v>3342</v>
      </c>
      <c r="F125" t="s">
        <v>3064</v>
      </c>
      <c r="G125" t="s">
        <v>3343</v>
      </c>
    </row>
    <row r="126" spans="1:7" ht="11.25" customHeight="1">
      <c r="A126" s="302" t="s">
        <v>14</v>
      </c>
      <c r="B126" t="s">
        <v>3336</v>
      </c>
      <c r="C126" t="s">
        <v>3337</v>
      </c>
      <c r="D126" t="s">
        <v>3344</v>
      </c>
      <c r="E126" t="s">
        <v>3345</v>
      </c>
      <c r="F126" t="s">
        <v>3064</v>
      </c>
      <c r="G126" t="s">
        <v>3346</v>
      </c>
    </row>
    <row r="127" spans="1:7" ht="11.25" customHeight="1">
      <c r="A127" s="302" t="s">
        <v>14</v>
      </c>
      <c r="B127" t="s">
        <v>3336</v>
      </c>
      <c r="C127" t="s">
        <v>3337</v>
      </c>
      <c r="D127" t="s">
        <v>3347</v>
      </c>
      <c r="E127" t="s">
        <v>3348</v>
      </c>
      <c r="F127" t="s">
        <v>3064</v>
      </c>
      <c r="G127" t="s">
        <v>3349</v>
      </c>
    </row>
    <row r="128" spans="1:7" ht="11.25" customHeight="1">
      <c r="A128" s="302" t="s">
        <v>14</v>
      </c>
      <c r="B128" t="s">
        <v>3336</v>
      </c>
      <c r="C128" t="s">
        <v>3337</v>
      </c>
      <c r="D128" t="s">
        <v>3336</v>
      </c>
      <c r="E128" t="s">
        <v>3337</v>
      </c>
      <c r="F128" t="s">
        <v>3060</v>
      </c>
      <c r="G128" t="s">
        <v>3350</v>
      </c>
    </row>
    <row r="129" spans="1:7" ht="11.25" customHeight="1">
      <c r="A129" s="302" t="s">
        <v>14</v>
      </c>
      <c r="B129" t="s">
        <v>3336</v>
      </c>
      <c r="C129" t="s">
        <v>3337</v>
      </c>
      <c r="D129" t="s">
        <v>3351</v>
      </c>
      <c r="E129" t="s">
        <v>3352</v>
      </c>
      <c r="F129" t="s">
        <v>3061</v>
      </c>
      <c r="G129" t="s">
        <v>3353</v>
      </c>
    </row>
    <row r="130" spans="1:7" ht="11.25" customHeight="1">
      <c r="A130" s="302" t="s">
        <v>14</v>
      </c>
      <c r="B130" t="s">
        <v>3336</v>
      </c>
      <c r="C130" t="s">
        <v>3337</v>
      </c>
      <c r="D130" t="s">
        <v>3354</v>
      </c>
      <c r="E130" t="s">
        <v>3355</v>
      </c>
      <c r="F130" t="s">
        <v>3064</v>
      </c>
      <c r="G130" t="s">
        <v>3356</v>
      </c>
    </row>
    <row r="131" spans="1:7" ht="11.25" customHeight="1">
      <c r="A131" s="302" t="s">
        <v>14</v>
      </c>
      <c r="B131" t="s">
        <v>3336</v>
      </c>
      <c r="C131" t="s">
        <v>3337</v>
      </c>
      <c r="D131" t="s">
        <v>3357</v>
      </c>
      <c r="E131" t="s">
        <v>3358</v>
      </c>
      <c r="F131" t="s">
        <v>3064</v>
      </c>
      <c r="G131" t="s">
        <v>3359</v>
      </c>
    </row>
    <row r="132" spans="1:7" ht="11.25" customHeight="1">
      <c r="A132" s="302" t="s">
        <v>14</v>
      </c>
      <c r="B132" t="s">
        <v>120</v>
      </c>
      <c r="C132" t="s">
        <v>3360</v>
      </c>
      <c r="D132" t="s">
        <v>3361</v>
      </c>
      <c r="E132" t="s">
        <v>3362</v>
      </c>
      <c r="F132" t="s">
        <v>3064</v>
      </c>
      <c r="G132" t="s">
        <v>3363</v>
      </c>
    </row>
    <row r="133" spans="1:7" ht="11.25" customHeight="1">
      <c r="A133" s="302" t="s">
        <v>14</v>
      </c>
      <c r="B133" t="s">
        <v>120</v>
      </c>
      <c r="C133" t="s">
        <v>3360</v>
      </c>
      <c r="D133" t="s">
        <v>3364</v>
      </c>
      <c r="E133" t="s">
        <v>3365</v>
      </c>
      <c r="F133" t="s">
        <v>3064</v>
      </c>
      <c r="G133" t="s">
        <v>3366</v>
      </c>
    </row>
    <row r="134" spans="1:7" ht="11.25" customHeight="1">
      <c r="A134" s="302" t="s">
        <v>14</v>
      </c>
      <c r="B134" t="s">
        <v>120</v>
      </c>
      <c r="C134" t="s">
        <v>3360</v>
      </c>
      <c r="D134" t="s">
        <v>3367</v>
      </c>
      <c r="E134" t="s">
        <v>3368</v>
      </c>
      <c r="F134" t="s">
        <v>3064</v>
      </c>
      <c r="G134" t="s">
        <v>3369</v>
      </c>
    </row>
    <row r="135" spans="1:7" ht="11.25" customHeight="1">
      <c r="A135" s="302" t="s">
        <v>14</v>
      </c>
      <c r="B135" t="s">
        <v>120</v>
      </c>
      <c r="C135" t="s">
        <v>3360</v>
      </c>
      <c r="D135" t="s">
        <v>3370</v>
      </c>
      <c r="E135" t="s">
        <v>3371</v>
      </c>
      <c r="F135" t="s">
        <v>3064</v>
      </c>
      <c r="G135" t="s">
        <v>3372</v>
      </c>
    </row>
    <row r="136" spans="1:7" ht="11.25" customHeight="1">
      <c r="A136" s="302" t="s">
        <v>14</v>
      </c>
      <c r="B136" t="s">
        <v>120</v>
      </c>
      <c r="C136" t="s">
        <v>3360</v>
      </c>
      <c r="D136" t="s">
        <v>120</v>
      </c>
      <c r="E136" t="s">
        <v>3360</v>
      </c>
      <c r="F136" t="s">
        <v>3060</v>
      </c>
      <c r="G136" t="s">
        <v>3373</v>
      </c>
    </row>
    <row r="137" spans="1:7" ht="11.25" customHeight="1">
      <c r="A137" s="302" t="s">
        <v>14</v>
      </c>
      <c r="B137" t="s">
        <v>120</v>
      </c>
      <c r="C137" t="s">
        <v>3360</v>
      </c>
      <c r="D137" t="s">
        <v>121</v>
      </c>
      <c r="E137" t="s">
        <v>122</v>
      </c>
      <c r="F137" t="s">
        <v>3061</v>
      </c>
      <c r="G137" t="s">
        <v>119</v>
      </c>
    </row>
    <row r="138" spans="1:7" ht="11.25" customHeight="1">
      <c r="A138" s="302" t="s">
        <v>14</v>
      </c>
      <c r="B138" t="s">
        <v>120</v>
      </c>
      <c r="C138" t="s">
        <v>3360</v>
      </c>
      <c r="D138" t="s">
        <v>3374</v>
      </c>
      <c r="E138" t="s">
        <v>3375</v>
      </c>
      <c r="F138" t="s">
        <v>3064</v>
      </c>
      <c r="G138" t="s">
        <v>3376</v>
      </c>
    </row>
    <row r="139" spans="1:7" ht="11.25" customHeight="1">
      <c r="A139" s="302" t="s">
        <v>14</v>
      </c>
      <c r="B139" t="s">
        <v>109</v>
      </c>
      <c r="C139" t="s">
        <v>3377</v>
      </c>
      <c r="D139" t="s">
        <v>116</v>
      </c>
      <c r="E139" t="s">
        <v>117</v>
      </c>
      <c r="F139" t="s">
        <v>3064</v>
      </c>
      <c r="G139" t="s">
        <v>115</v>
      </c>
    </row>
    <row r="140" spans="1:7" ht="11.25" customHeight="1">
      <c r="A140" s="302" t="s">
        <v>14</v>
      </c>
      <c r="B140" t="s">
        <v>109</v>
      </c>
      <c r="C140" t="s">
        <v>3377</v>
      </c>
      <c r="D140" t="s">
        <v>113</v>
      </c>
      <c r="E140" t="s">
        <v>114</v>
      </c>
      <c r="F140" t="s">
        <v>3064</v>
      </c>
      <c r="G140" t="s">
        <v>112</v>
      </c>
    </row>
    <row r="141" spans="1:7" ht="11.25" customHeight="1">
      <c r="A141" s="302" t="s">
        <v>14</v>
      </c>
      <c r="B141" t="s">
        <v>109</v>
      </c>
      <c r="C141" t="s">
        <v>3377</v>
      </c>
      <c r="D141" t="s">
        <v>110</v>
      </c>
      <c r="E141" t="s">
        <v>111</v>
      </c>
      <c r="F141" t="s">
        <v>3061</v>
      </c>
      <c r="G141" t="s">
        <v>108</v>
      </c>
    </row>
    <row r="142" spans="1:7" ht="11.25" customHeight="1">
      <c r="A142" s="302" t="s">
        <v>14</v>
      </c>
      <c r="B142" t="s">
        <v>109</v>
      </c>
      <c r="C142" t="s">
        <v>3377</v>
      </c>
      <c r="D142" t="s">
        <v>3378</v>
      </c>
      <c r="E142" t="s">
        <v>3379</v>
      </c>
      <c r="F142" t="s">
        <v>3064</v>
      </c>
      <c r="G142" t="s">
        <v>3380</v>
      </c>
    </row>
    <row r="143" spans="1:7" ht="11.25" customHeight="1">
      <c r="A143" s="302" t="s">
        <v>14</v>
      </c>
      <c r="B143" t="s">
        <v>109</v>
      </c>
      <c r="C143" t="s">
        <v>3377</v>
      </c>
      <c r="D143" t="s">
        <v>3381</v>
      </c>
      <c r="E143" t="s">
        <v>3382</v>
      </c>
      <c r="F143" t="s">
        <v>3064</v>
      </c>
      <c r="G143" t="s">
        <v>3383</v>
      </c>
    </row>
    <row r="144" spans="1:7" ht="11.25" customHeight="1">
      <c r="A144" s="302" t="s">
        <v>14</v>
      </c>
      <c r="B144" t="s">
        <v>109</v>
      </c>
      <c r="C144" t="s">
        <v>3377</v>
      </c>
      <c r="D144" t="s">
        <v>109</v>
      </c>
      <c r="E144" t="s">
        <v>3377</v>
      </c>
      <c r="F144" t="s">
        <v>3060</v>
      </c>
      <c r="G144" t="s">
        <v>3384</v>
      </c>
    </row>
    <row r="145" spans="1:7" ht="11.25" customHeight="1">
      <c r="A145" s="302" t="s">
        <v>14</v>
      </c>
      <c r="B145" t="s">
        <v>109</v>
      </c>
      <c r="C145" t="s">
        <v>3377</v>
      </c>
      <c r="D145" t="s">
        <v>3385</v>
      </c>
      <c r="E145" t="s">
        <v>3386</v>
      </c>
      <c r="F145" t="s">
        <v>3064</v>
      </c>
      <c r="G145" t="s">
        <v>3387</v>
      </c>
    </row>
    <row r="146" spans="1:7" ht="11.25" customHeight="1">
      <c r="A146" s="302" t="s">
        <v>14</v>
      </c>
      <c r="B146" t="s">
        <v>3388</v>
      </c>
      <c r="C146" t="s">
        <v>3389</v>
      </c>
      <c r="D146" t="s">
        <v>3390</v>
      </c>
      <c r="E146" t="s">
        <v>3391</v>
      </c>
      <c r="F146" t="s">
        <v>3064</v>
      </c>
      <c r="G146" t="s">
        <v>3392</v>
      </c>
    </row>
    <row r="147" spans="1:7" ht="11.25" customHeight="1">
      <c r="A147" s="302" t="s">
        <v>14</v>
      </c>
      <c r="B147" t="s">
        <v>3388</v>
      </c>
      <c r="C147" t="s">
        <v>3389</v>
      </c>
      <c r="D147" t="s">
        <v>3146</v>
      </c>
      <c r="E147" t="s">
        <v>3393</v>
      </c>
      <c r="F147" t="s">
        <v>3064</v>
      </c>
      <c r="G147" t="s">
        <v>3394</v>
      </c>
    </row>
    <row r="148" spans="1:7" ht="11.25" customHeight="1">
      <c r="A148" s="302" t="s">
        <v>14</v>
      </c>
      <c r="B148" t="s">
        <v>3388</v>
      </c>
      <c r="C148" t="s">
        <v>3389</v>
      </c>
      <c r="D148" t="s">
        <v>3395</v>
      </c>
      <c r="E148" t="s">
        <v>3396</v>
      </c>
      <c r="F148" t="s">
        <v>3064</v>
      </c>
      <c r="G148" t="s">
        <v>3397</v>
      </c>
    </row>
    <row r="149" spans="1:7" ht="11.25" customHeight="1">
      <c r="A149" s="302" t="s">
        <v>14</v>
      </c>
      <c r="B149" t="s">
        <v>3388</v>
      </c>
      <c r="C149" t="s">
        <v>3389</v>
      </c>
      <c r="D149" t="s">
        <v>3398</v>
      </c>
      <c r="E149" t="s">
        <v>3399</v>
      </c>
      <c r="F149" t="s">
        <v>3064</v>
      </c>
      <c r="G149" t="s">
        <v>3400</v>
      </c>
    </row>
    <row r="150" spans="1:7" ht="11.25" customHeight="1">
      <c r="A150" s="302" t="s">
        <v>14</v>
      </c>
      <c r="B150" t="s">
        <v>3388</v>
      </c>
      <c r="C150" t="s">
        <v>3389</v>
      </c>
      <c r="D150" t="s">
        <v>3401</v>
      </c>
      <c r="E150" t="s">
        <v>3402</v>
      </c>
      <c r="F150" t="s">
        <v>3064</v>
      </c>
      <c r="G150" t="s">
        <v>3403</v>
      </c>
    </row>
    <row r="151" spans="1:7" ht="11.25" customHeight="1">
      <c r="A151" s="302" t="s">
        <v>14</v>
      </c>
      <c r="B151" t="s">
        <v>3388</v>
      </c>
      <c r="C151" t="s">
        <v>3389</v>
      </c>
      <c r="D151" t="s">
        <v>3404</v>
      </c>
      <c r="E151" t="s">
        <v>3405</v>
      </c>
      <c r="F151" t="s">
        <v>3064</v>
      </c>
      <c r="G151" t="s">
        <v>3406</v>
      </c>
    </row>
    <row r="152" spans="1:7" ht="11.25" customHeight="1">
      <c r="A152" s="302" t="s">
        <v>14</v>
      </c>
      <c r="B152" t="s">
        <v>3388</v>
      </c>
      <c r="C152" t="s">
        <v>3389</v>
      </c>
      <c r="D152" t="s">
        <v>3407</v>
      </c>
      <c r="E152" t="s">
        <v>3408</v>
      </c>
      <c r="F152" t="s">
        <v>3064</v>
      </c>
      <c r="G152" t="s">
        <v>3409</v>
      </c>
    </row>
    <row r="153" spans="1:7" ht="11.25" customHeight="1">
      <c r="A153" s="302" t="s">
        <v>14</v>
      </c>
      <c r="B153" t="s">
        <v>3388</v>
      </c>
      <c r="C153" t="s">
        <v>3389</v>
      </c>
      <c r="D153" t="s">
        <v>3388</v>
      </c>
      <c r="E153" t="s">
        <v>3389</v>
      </c>
      <c r="F153" t="s">
        <v>3060</v>
      </c>
      <c r="G153" t="s">
        <v>3410</v>
      </c>
    </row>
    <row r="154" spans="1:7" ht="11.25" customHeight="1">
      <c r="A154" s="302" t="s">
        <v>14</v>
      </c>
      <c r="B154" t="s">
        <v>3388</v>
      </c>
      <c r="C154" t="s">
        <v>3389</v>
      </c>
      <c r="D154" t="s">
        <v>3411</v>
      </c>
      <c r="E154" t="s">
        <v>3412</v>
      </c>
      <c r="F154" t="s">
        <v>3061</v>
      </c>
      <c r="G154" t="s">
        <v>3413</v>
      </c>
    </row>
    <row r="155" spans="1:7" ht="11.25" customHeight="1">
      <c r="A155" s="302" t="s">
        <v>14</v>
      </c>
      <c r="B155" t="s">
        <v>3414</v>
      </c>
      <c r="C155" t="s">
        <v>3415</v>
      </c>
      <c r="D155" t="s">
        <v>3416</v>
      </c>
      <c r="E155" t="s">
        <v>3417</v>
      </c>
      <c r="F155" t="s">
        <v>3064</v>
      </c>
      <c r="G155" t="s">
        <v>3418</v>
      </c>
    </row>
    <row r="156" spans="1:7" ht="11.25" customHeight="1">
      <c r="A156" s="302" t="s">
        <v>14</v>
      </c>
      <c r="B156" t="s">
        <v>3414</v>
      </c>
      <c r="C156" t="s">
        <v>3415</v>
      </c>
      <c r="D156" t="s">
        <v>3419</v>
      </c>
      <c r="E156" t="s">
        <v>3420</v>
      </c>
      <c r="F156" t="s">
        <v>3064</v>
      </c>
      <c r="G156" t="s">
        <v>3421</v>
      </c>
    </row>
    <row r="157" spans="1:7" ht="11.25" customHeight="1">
      <c r="A157" s="302" t="s">
        <v>14</v>
      </c>
      <c r="B157" t="s">
        <v>3414</v>
      </c>
      <c r="C157" t="s">
        <v>3415</v>
      </c>
      <c r="D157" t="s">
        <v>3422</v>
      </c>
      <c r="E157" t="s">
        <v>3423</v>
      </c>
      <c r="F157" t="s">
        <v>3064</v>
      </c>
      <c r="G157" t="s">
        <v>3424</v>
      </c>
    </row>
    <row r="158" spans="1:7" ht="11.25" customHeight="1">
      <c r="A158" s="302" t="s">
        <v>14</v>
      </c>
      <c r="B158" t="s">
        <v>3414</v>
      </c>
      <c r="C158" t="s">
        <v>3415</v>
      </c>
      <c r="D158" t="s">
        <v>3425</v>
      </c>
      <c r="E158" t="s">
        <v>3426</v>
      </c>
      <c r="F158" t="s">
        <v>3064</v>
      </c>
      <c r="G158" t="s">
        <v>3427</v>
      </c>
    </row>
    <row r="159" spans="1:7" ht="11.25" customHeight="1">
      <c r="A159" s="302" t="s">
        <v>14</v>
      </c>
      <c r="B159" t="s">
        <v>3414</v>
      </c>
      <c r="C159" t="s">
        <v>3415</v>
      </c>
      <c r="D159" t="s">
        <v>3428</v>
      </c>
      <c r="E159" t="s">
        <v>3429</v>
      </c>
      <c r="F159" t="s">
        <v>3064</v>
      </c>
      <c r="G159" t="s">
        <v>3430</v>
      </c>
    </row>
    <row r="160" spans="1:7" ht="11.25" customHeight="1">
      <c r="A160" s="302" t="s">
        <v>14</v>
      </c>
      <c r="B160" t="s">
        <v>3414</v>
      </c>
      <c r="C160" t="s">
        <v>3415</v>
      </c>
      <c r="D160" t="s">
        <v>3431</v>
      </c>
      <c r="E160" t="s">
        <v>3432</v>
      </c>
      <c r="F160" t="s">
        <v>3064</v>
      </c>
      <c r="G160" t="s">
        <v>3433</v>
      </c>
    </row>
    <row r="161" spans="1:7" ht="11.25" customHeight="1">
      <c r="A161" s="302" t="s">
        <v>14</v>
      </c>
      <c r="B161" t="s">
        <v>3414</v>
      </c>
      <c r="C161" t="s">
        <v>3415</v>
      </c>
      <c r="D161" t="s">
        <v>3434</v>
      </c>
      <c r="E161" t="s">
        <v>3435</v>
      </c>
      <c r="F161" t="s">
        <v>3064</v>
      </c>
      <c r="G161" t="s">
        <v>3436</v>
      </c>
    </row>
    <row r="162" spans="1:7" ht="11.25" customHeight="1">
      <c r="A162" s="302" t="s">
        <v>14</v>
      </c>
      <c r="B162" t="s">
        <v>3414</v>
      </c>
      <c r="C162" t="s">
        <v>3415</v>
      </c>
      <c r="D162" t="s">
        <v>3437</v>
      </c>
      <c r="E162" t="s">
        <v>3438</v>
      </c>
      <c r="F162" t="s">
        <v>3064</v>
      </c>
      <c r="G162" t="s">
        <v>3439</v>
      </c>
    </row>
    <row r="163" spans="1:7" ht="11.25" customHeight="1">
      <c r="A163" s="302" t="s">
        <v>14</v>
      </c>
      <c r="B163" t="s">
        <v>3414</v>
      </c>
      <c r="C163" t="s">
        <v>3415</v>
      </c>
      <c r="D163" t="s">
        <v>3440</v>
      </c>
      <c r="E163" t="s">
        <v>3441</v>
      </c>
      <c r="F163" t="s">
        <v>3064</v>
      </c>
      <c r="G163" t="s">
        <v>3442</v>
      </c>
    </row>
    <row r="164" spans="1:7" ht="11.25" customHeight="1">
      <c r="A164" s="302" t="s">
        <v>14</v>
      </c>
      <c r="B164" t="s">
        <v>3414</v>
      </c>
      <c r="C164" t="s">
        <v>3415</v>
      </c>
      <c r="D164" t="s">
        <v>3414</v>
      </c>
      <c r="E164" t="s">
        <v>3415</v>
      </c>
      <c r="F164" t="s">
        <v>3060</v>
      </c>
      <c r="G164" t="s">
        <v>3443</v>
      </c>
    </row>
    <row r="165" spans="1:7" ht="11.25" customHeight="1">
      <c r="A165" s="302" t="s">
        <v>14</v>
      </c>
      <c r="B165" t="s">
        <v>3414</v>
      </c>
      <c r="C165" t="s">
        <v>3415</v>
      </c>
      <c r="D165" t="s">
        <v>3444</v>
      </c>
      <c r="E165" t="s">
        <v>3445</v>
      </c>
      <c r="F165" t="s">
        <v>3061</v>
      </c>
      <c r="G165" t="s">
        <v>3446</v>
      </c>
    </row>
    <row r="166" spans="1:7" ht="11.25" customHeight="1">
      <c r="A166" s="302" t="s">
        <v>14</v>
      </c>
      <c r="B166" t="s">
        <v>3447</v>
      </c>
      <c r="C166" t="s">
        <v>3448</v>
      </c>
      <c r="D166" t="s">
        <v>3447</v>
      </c>
      <c r="E166" t="s">
        <v>3448</v>
      </c>
      <c r="F166" t="s">
        <v>3449</v>
      </c>
      <c r="G166" t="s">
        <v>3450</v>
      </c>
    </row>
    <row r="167" spans="1:7" ht="11.25" customHeight="1">
      <c r="A167" s="302" t="s">
        <v>14</v>
      </c>
      <c r="B167" t="s">
        <v>149</v>
      </c>
      <c r="C167" t="s">
        <v>150</v>
      </c>
      <c r="D167" t="s">
        <v>149</v>
      </c>
      <c r="E167" t="s">
        <v>150</v>
      </c>
      <c r="F167" t="s">
        <v>3449</v>
      </c>
      <c r="G167" t="s">
        <v>148</v>
      </c>
    </row>
    <row r="168" spans="1:7" ht="11.25" customHeight="1">
      <c r="A168" s="302" t="s">
        <v>14</v>
      </c>
      <c r="B168" t="s">
        <v>3451</v>
      </c>
      <c r="C168" t="s">
        <v>3452</v>
      </c>
      <c r="D168" t="s">
        <v>3451</v>
      </c>
      <c r="E168" t="s">
        <v>3452</v>
      </c>
      <c r="F168" t="s">
        <v>3449</v>
      </c>
      <c r="G168" t="s">
        <v>3453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D8"/>
  <sheetViews>
    <sheetView showGridLines="0" workbookViewId="0"/>
  </sheetViews>
  <sheetFormatPr defaultColWidth="9.140625" defaultRowHeight="11.25" customHeight="1"/>
  <cols>
    <col min="1" max="4" width="9.140625" style="4573"/>
  </cols>
  <sheetData>
    <row r="1" spans="1:4" ht="11.25" customHeight="1">
      <c r="A1" s="753" t="s">
        <v>3454</v>
      </c>
      <c r="B1" s="753" t="s">
        <v>3455</v>
      </c>
      <c r="C1" s="753" t="s">
        <v>3456</v>
      </c>
      <c r="D1" s="753" t="s">
        <v>3457</v>
      </c>
    </row>
    <row r="2" spans="1:4" ht="11.25" customHeight="1">
      <c r="A2" s="4574" t="s">
        <v>174</v>
      </c>
      <c r="B2" s="4574" t="s">
        <v>3458</v>
      </c>
      <c r="C2" s="4574" t="s">
        <v>3459</v>
      </c>
      <c r="D2" s="4574" t="s">
        <v>3460</v>
      </c>
    </row>
    <row r="3" spans="1:4" ht="11.25" customHeight="1">
      <c r="A3" s="4574" t="s">
        <v>101</v>
      </c>
      <c r="B3" s="4574" t="s">
        <v>3461</v>
      </c>
      <c r="C3" s="4574" t="s">
        <v>3459</v>
      </c>
      <c r="D3" s="4574" t="s">
        <v>3460</v>
      </c>
    </row>
    <row r="4" spans="1:4" ht="11.25" customHeight="1">
      <c r="A4" s="4574" t="s">
        <v>88</v>
      </c>
      <c r="B4" s="4574" t="s">
        <v>3462</v>
      </c>
      <c r="C4" s="4574" t="s">
        <v>3459</v>
      </c>
      <c r="D4" s="4574" t="s">
        <v>3460</v>
      </c>
    </row>
    <row r="5" spans="1:4" ht="11.25" customHeight="1">
      <c r="A5" s="4574" t="s">
        <v>89</v>
      </c>
      <c r="B5" s="4574" t="s">
        <v>3463</v>
      </c>
      <c r="C5" s="4574" t="s">
        <v>3464</v>
      </c>
      <c r="D5" s="4574" t="s">
        <v>3465</v>
      </c>
    </row>
    <row r="6" spans="1:4" ht="11.25" customHeight="1">
      <c r="A6" s="4574" t="s">
        <v>128</v>
      </c>
      <c r="B6" s="4574" t="s">
        <v>3466</v>
      </c>
      <c r="C6" s="4574" t="s">
        <v>3467</v>
      </c>
      <c r="D6" s="4574" t="s">
        <v>3465</v>
      </c>
    </row>
    <row r="7" spans="1:4" ht="11.25" customHeight="1">
      <c r="A7" s="4574" t="s">
        <v>90</v>
      </c>
      <c r="B7" s="4574" t="s">
        <v>3468</v>
      </c>
      <c r="C7" s="4574" t="s">
        <v>3464</v>
      </c>
      <c r="D7" s="4574" t="s">
        <v>3465</v>
      </c>
    </row>
    <row r="8" spans="1:4" ht="11.25" customHeight="1">
      <c r="A8" s="4574" t="s">
        <v>91</v>
      </c>
      <c r="B8" s="4574" t="s">
        <v>3469</v>
      </c>
      <c r="C8" s="4574" t="s">
        <v>3470</v>
      </c>
      <c r="D8" s="4574" t="s">
        <v>3471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B12"/>
  <sheetViews>
    <sheetView showGridLines="0" workbookViewId="0"/>
  </sheetViews>
  <sheetFormatPr defaultColWidth="9.140625" defaultRowHeight="11.25" customHeight="1"/>
  <cols>
    <col min="1" max="2" width="9.140625" style="4575"/>
  </cols>
  <sheetData>
    <row r="1" spans="1:2" ht="11.25" customHeight="1">
      <c r="A1" s="104" t="s">
        <v>192</v>
      </c>
      <c r="B1" s="104" t="s">
        <v>3472</v>
      </c>
    </row>
    <row r="2" spans="1:2" ht="11.25" customHeight="1">
      <c r="A2" s="4576" t="s">
        <v>96</v>
      </c>
      <c r="B2" s="4576" t="s">
        <v>3473</v>
      </c>
    </row>
    <row r="3" spans="1:2" ht="11.25" customHeight="1">
      <c r="A3" s="4576" t="s">
        <v>107</v>
      </c>
      <c r="B3" s="4576" t="s">
        <v>3474</v>
      </c>
    </row>
    <row r="4" spans="1:2" ht="11.25" customHeight="1">
      <c r="A4" s="4576" t="s">
        <v>118</v>
      </c>
      <c r="B4" s="4576" t="s">
        <v>3475</v>
      </c>
    </row>
    <row r="5" spans="1:2" ht="11.25" customHeight="1">
      <c r="A5" s="4576" t="s">
        <v>123</v>
      </c>
      <c r="B5" s="4576" t="s">
        <v>3476</v>
      </c>
    </row>
    <row r="6" spans="1:2" ht="11.25" customHeight="1">
      <c r="A6" s="4576" t="s">
        <v>129</v>
      </c>
      <c r="B6" s="4576" t="s">
        <v>3477</v>
      </c>
    </row>
    <row r="7" spans="1:2" ht="11.25" customHeight="1">
      <c r="A7" s="4576" t="s">
        <v>137</v>
      </c>
      <c r="B7" s="4576" t="s">
        <v>3478</v>
      </c>
    </row>
    <row r="8" spans="1:2" ht="11.25" customHeight="1">
      <c r="A8" s="4576" t="s">
        <v>142</v>
      </c>
      <c r="B8" s="4576" t="s">
        <v>3479</v>
      </c>
    </row>
    <row r="9" spans="1:2" ht="11.25" customHeight="1">
      <c r="A9" s="4576" t="s">
        <v>147</v>
      </c>
      <c r="B9" s="4576" t="s">
        <v>3480</v>
      </c>
    </row>
    <row r="10" spans="1:2" ht="11.25" customHeight="1">
      <c r="A10" s="4576" t="s">
        <v>152</v>
      </c>
      <c r="B10" s="4576" t="s">
        <v>3481</v>
      </c>
    </row>
    <row r="11" spans="1:2" ht="11.25" customHeight="1">
      <c r="A11" s="4576" t="s">
        <v>158</v>
      </c>
      <c r="B11" s="4576" t="s">
        <v>3482</v>
      </c>
    </row>
    <row r="12" spans="1:2" ht="11.25" customHeight="1">
      <c r="A12" s="4576" t="s">
        <v>163</v>
      </c>
      <c r="B12" s="4576" t="s">
        <v>3483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4573"/>
    <col min="2" max="2" width="65.28515625" style="4573" customWidth="1"/>
  </cols>
  <sheetData>
    <row r="1" spans="1:2" ht="11.25" customHeight="1">
      <c r="A1" s="753" t="s">
        <v>3484</v>
      </c>
      <c r="B1" s="753" t="s">
        <v>3485</v>
      </c>
    </row>
    <row r="2" spans="1:2" ht="11.25" customHeight="1">
      <c r="A2" s="753">
        <v>4213775</v>
      </c>
      <c r="B2" s="753" t="s">
        <v>1362</v>
      </c>
    </row>
    <row r="3" spans="1:2" ht="11.25" customHeight="1">
      <c r="A3" s="753">
        <v>4213784</v>
      </c>
      <c r="B3" s="753" t="s">
        <v>1396</v>
      </c>
    </row>
    <row r="4" spans="1:2" ht="11.25" customHeight="1">
      <c r="A4" s="753">
        <v>4213781</v>
      </c>
      <c r="B4" s="753" t="s">
        <v>1389</v>
      </c>
    </row>
    <row r="5" spans="1:2" ht="11.25" customHeight="1">
      <c r="A5" s="753">
        <v>4213776</v>
      </c>
      <c r="B5" s="753" t="s">
        <v>225</v>
      </c>
    </row>
    <row r="6" spans="1:2" ht="11.25" customHeight="1">
      <c r="A6" s="753">
        <v>4213777</v>
      </c>
      <c r="B6" s="753" t="s">
        <v>231</v>
      </c>
    </row>
    <row r="7" spans="1:2" ht="11.25" customHeight="1">
      <c r="A7" s="753">
        <v>4213778</v>
      </c>
      <c r="B7" s="753" t="s">
        <v>237</v>
      </c>
    </row>
    <row r="8" spans="1:2" ht="11.25" customHeight="1">
      <c r="A8" s="753">
        <v>4213780</v>
      </c>
      <c r="B8" s="753" t="s">
        <v>243</v>
      </c>
    </row>
    <row r="9" spans="1:2" ht="11.25" customHeight="1">
      <c r="A9" s="753">
        <v>4213779</v>
      </c>
      <c r="B9" s="753" t="s">
        <v>1528</v>
      </c>
    </row>
    <row r="10" spans="1:2" ht="11.25" customHeight="1">
      <c r="A10" s="753">
        <v>4213783</v>
      </c>
      <c r="B10" s="753" t="s">
        <v>1543</v>
      </c>
    </row>
    <row r="11" spans="1:2" ht="11.25" customHeight="1">
      <c r="A11" s="753">
        <v>4213782</v>
      </c>
      <c r="B11" s="753" t="s">
        <v>249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4573"/>
    <col min="2" max="2" width="65.28515625" style="4573" customWidth="1"/>
  </cols>
  <sheetData>
    <row r="1" spans="1:2" ht="11.25" customHeight="1">
      <c r="A1" s="753" t="s">
        <v>3484</v>
      </c>
      <c r="B1" s="753" t="s">
        <v>3486</v>
      </c>
    </row>
    <row r="2" spans="1:2" ht="11.25" customHeight="1">
      <c r="A2" s="753" t="s">
        <v>311</v>
      </c>
      <c r="B2" s="753" t="s">
        <v>1639</v>
      </c>
    </row>
    <row r="3" spans="1:2" ht="11.25" customHeight="1">
      <c r="A3" s="753" t="s">
        <v>3487</v>
      </c>
      <c r="B3" s="753" t="s">
        <v>1648</v>
      </c>
    </row>
    <row r="4" spans="1:2" ht="11.25" customHeight="1">
      <c r="A4" s="753" t="s">
        <v>3488</v>
      </c>
      <c r="B4" s="753" t="s">
        <v>1658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S17"/>
  <sheetViews>
    <sheetView showGridLines="0" topLeftCell="C3" zoomScale="90" workbookViewId="0"/>
  </sheetViews>
  <sheetFormatPr defaultColWidth="10.5703125" defaultRowHeight="14.25" customHeight="1"/>
  <cols>
    <col min="1" max="1" width="9.140625" style="1936" hidden="1" customWidth="1"/>
    <col min="2" max="2" width="9.140625" style="1935" hidden="1" customWidth="1"/>
    <col min="3" max="3" width="3.7109375" style="1937" customWidth="1"/>
    <col min="4" max="4" width="5.5703125" style="1935" customWidth="1"/>
    <col min="5" max="5" width="48.42578125" style="1935" customWidth="1"/>
    <col min="6" max="6" width="38.140625" style="1935" customWidth="1"/>
    <col min="7" max="7" width="1.7109375" style="1824" hidden="1" customWidth="1"/>
    <col min="8" max="11" width="19.85546875" style="1935" hidden="1" customWidth="1"/>
    <col min="12" max="12" width="9.7109375" style="1935" hidden="1" customWidth="1"/>
    <col min="13" max="18" width="19.85546875" style="1935" hidden="1" customWidth="1"/>
    <col min="19" max="19" width="1.7109375" style="1824" hidden="1" customWidth="1"/>
    <col min="20" max="22" width="19.85546875" style="1938" customWidth="1"/>
    <col min="23" max="23" width="1.7109375" style="1824" hidden="1" customWidth="1"/>
    <col min="24" max="26" width="19.85546875" style="1938" hidden="1" customWidth="1"/>
    <col min="27" max="27" width="1.7109375" style="1824" hidden="1" customWidth="1"/>
    <col min="28" max="29" width="19.85546875" style="1938" hidden="1" customWidth="1"/>
    <col min="30" max="30" width="1.7109375" style="1824" hidden="1" customWidth="1"/>
    <col min="31" max="31" width="103.7109375" style="1935" hidden="1" customWidth="1"/>
    <col min="32" max="32" width="103.7109375" style="1938" customWidth="1"/>
    <col min="33" max="34" width="103.7109375" style="1938" hidden="1" customWidth="1"/>
    <col min="35" max="35" width="3.7109375" style="1939" customWidth="1"/>
    <col min="36" max="38" width="10.5703125" style="1934"/>
    <col min="39" max="39" width="13.7109375" style="1934" hidden="1" customWidth="1"/>
    <col min="40" max="40" width="15.42578125" style="1934" customWidth="1"/>
    <col min="41" max="41" width="16.28515625" style="1934" customWidth="1"/>
    <col min="42" max="45" width="10.5703125" style="1934"/>
  </cols>
  <sheetData>
    <row r="1" spans="1:45" ht="14.25" hidden="1" customHeight="1">
      <c r="E1" s="347"/>
      <c r="F1" s="347"/>
      <c r="G1" s="347"/>
      <c r="H1" s="4602" t="s">
        <v>493</v>
      </c>
      <c r="I1" s="4602"/>
      <c r="J1" s="4602"/>
      <c r="K1" s="4602"/>
      <c r="L1" s="4602"/>
      <c r="M1" s="4602"/>
      <c r="N1" s="4602"/>
      <c r="O1" s="4602"/>
      <c r="P1" s="4602"/>
      <c r="Q1" s="4602"/>
      <c r="R1" s="4602"/>
      <c r="T1" s="4602" t="s">
        <v>494</v>
      </c>
      <c r="U1" s="4602"/>
      <c r="V1" s="4602"/>
      <c r="X1" s="4602" t="s">
        <v>495</v>
      </c>
      <c r="Y1" s="4602"/>
      <c r="Z1" s="4602"/>
      <c r="AB1" s="4602" t="s">
        <v>496</v>
      </c>
      <c r="AC1" s="4602"/>
    </row>
    <row r="2" spans="1:45" ht="14.25" hidden="1" customHeight="1"/>
    <row r="3" spans="1:45" s="1931" customFormat="1" ht="6" customHeight="1">
      <c r="C3" s="621"/>
      <c r="D3" s="622"/>
      <c r="E3" s="622"/>
      <c r="F3" s="622"/>
      <c r="G3" s="622"/>
      <c r="H3" s="622" t="s">
        <v>497</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4657" t="str">
        <f>ORG_VD_NAME_FORM</f>
        <v>Форма 1. Информация об организации, осуществляющей водоотведение (общая информация)</v>
      </c>
      <c r="E4" s="4658"/>
      <c r="F4" s="4658"/>
      <c r="G4" s="4658"/>
      <c r="H4" s="4658"/>
      <c r="I4" s="4658"/>
      <c r="J4" s="4658"/>
      <c r="K4" s="4658"/>
      <c r="L4" s="4658"/>
      <c r="M4" s="4658"/>
      <c r="N4" s="4658"/>
      <c r="O4" s="4658"/>
      <c r="P4" s="4658"/>
      <c r="Q4" s="4658"/>
      <c r="R4" s="4659"/>
      <c r="S4" s="767"/>
      <c r="T4" s="620"/>
      <c r="U4" s="620"/>
      <c r="V4" s="620"/>
      <c r="W4" s="620"/>
      <c r="X4" s="620"/>
      <c r="Y4" s="620"/>
      <c r="Z4" s="620"/>
      <c r="AA4" s="620"/>
      <c r="AB4" s="620"/>
      <c r="AC4" s="620"/>
      <c r="AD4" s="620"/>
      <c r="AE4" s="418"/>
      <c r="AF4" s="418"/>
      <c r="AG4" s="418"/>
      <c r="AH4" s="418"/>
      <c r="AI4" s="415"/>
    </row>
    <row r="5" spans="1:45" s="1824" customFormat="1" ht="17.25" customHeight="1">
      <c r="A5" s="677"/>
      <c r="C5" s="740"/>
      <c r="D5" s="4724" t="str">
        <f>IF(org=0,"Не определено",org)</f>
        <v>ОГКП "Ульяновский областной водоканал"</v>
      </c>
      <c r="E5" s="4725"/>
      <c r="F5" s="4725"/>
      <c r="G5" s="4725"/>
      <c r="H5" s="4725"/>
      <c r="I5" s="4725"/>
      <c r="J5" s="4725"/>
      <c r="K5" s="4725"/>
      <c r="L5" s="4725"/>
      <c r="M5" s="4725"/>
      <c r="N5" s="4725"/>
      <c r="O5" s="4725"/>
      <c r="P5" s="4725"/>
      <c r="Q5" s="4725"/>
      <c r="R5" s="4726"/>
      <c r="S5" s="767"/>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933" customFormat="1" ht="11.25" customHeight="1">
      <c r="A6" s="406"/>
      <c r="C6" s="413"/>
      <c r="D6" s="412"/>
      <c r="E6" s="412"/>
      <c r="F6" s="412"/>
      <c r="G6" s="412"/>
      <c r="H6" s="412"/>
      <c r="I6" s="412"/>
      <c r="J6" s="412"/>
      <c r="K6" s="412"/>
      <c r="L6" s="412"/>
      <c r="M6" s="412"/>
      <c r="N6" s="412"/>
      <c r="O6" s="412"/>
      <c r="P6" s="412"/>
      <c r="Q6" s="412"/>
      <c r="R6" s="670"/>
      <c r="S6" s="670"/>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4727" t="s">
        <v>439</v>
      </c>
      <c r="E7" s="4728"/>
      <c r="F7" s="4728"/>
      <c r="G7" s="4728"/>
      <c r="H7" s="4728"/>
      <c r="I7" s="4728"/>
      <c r="J7" s="4728"/>
      <c r="K7" s="4728"/>
      <c r="L7" s="4728"/>
      <c r="M7" s="4728"/>
      <c r="N7" s="4728"/>
      <c r="O7" s="4728"/>
      <c r="P7" s="4728"/>
      <c r="Q7" s="4728"/>
      <c r="R7" s="4728"/>
      <c r="S7" s="4728"/>
      <c r="T7" s="4728"/>
      <c r="U7" s="4728"/>
      <c r="V7" s="4728"/>
      <c r="W7" s="4728"/>
      <c r="X7" s="4728"/>
      <c r="Y7" s="4728"/>
      <c r="Z7" s="4728"/>
      <c r="AA7" s="4728"/>
      <c r="AB7" s="4728"/>
      <c r="AC7" s="4728"/>
      <c r="AD7" s="4729"/>
      <c r="AE7" s="4655" t="s">
        <v>440</v>
      </c>
      <c r="AF7" s="4655" t="s">
        <v>440</v>
      </c>
      <c r="AG7" s="4655" t="s">
        <v>440</v>
      </c>
      <c r="AH7" s="4655" t="s">
        <v>440</v>
      </c>
    </row>
    <row r="8" spans="1:45" ht="25.5" customHeight="1">
      <c r="C8" s="382"/>
      <c r="D8" s="4627" t="s">
        <v>86</v>
      </c>
      <c r="E8" s="4655" t="str">
        <f>"Наименование "&amp;IF(TEMPLATE_SPHERE&lt;&gt;"HEAT","централизованной ","")&amp;"системы "&amp;TEMPLATE_SPHERE_RUS</f>
        <v>Наименование централизованной системы водоотведения</v>
      </c>
      <c r="F8" s="4655" t="str">
        <f>IF(TEMPLATE_SPHERE&lt;&gt;"HEAT","Регулируемый вид деятельности","Вид регулируемой деятельности")</f>
        <v>Регулируемый вид деятельности</v>
      </c>
      <c r="G8" s="746"/>
      <c r="H8" s="4732" t="s">
        <v>498</v>
      </c>
      <c r="I8" s="4734" t="s">
        <v>499</v>
      </c>
      <c r="J8" s="4655" t="s">
        <v>500</v>
      </c>
      <c r="K8" s="4655"/>
      <c r="L8" s="4655"/>
      <c r="M8" s="4727"/>
      <c r="N8" s="4655" t="s">
        <v>501</v>
      </c>
      <c r="O8" s="4655"/>
      <c r="P8" s="4655" t="s">
        <v>502</v>
      </c>
      <c r="Q8" s="4655"/>
      <c r="R8" s="4736" t="s">
        <v>503</v>
      </c>
      <c r="S8" s="742"/>
      <c r="T8" s="4732" t="s">
        <v>504</v>
      </c>
      <c r="U8" s="4732" t="s">
        <v>505</v>
      </c>
      <c r="V8" s="4732" t="s">
        <v>506</v>
      </c>
      <c r="W8" s="744"/>
      <c r="X8" s="4732" t="s">
        <v>507</v>
      </c>
      <c r="Y8" s="4732" t="s">
        <v>508</v>
      </c>
      <c r="Z8" s="4732" t="s">
        <v>509</v>
      </c>
      <c r="AA8" s="744"/>
      <c r="AB8" s="4732" t="s">
        <v>510</v>
      </c>
      <c r="AC8" s="4732" t="s">
        <v>503</v>
      </c>
      <c r="AD8" s="744"/>
      <c r="AE8" s="4655"/>
      <c r="AF8" s="4655"/>
      <c r="AG8" s="4655"/>
      <c r="AH8" s="4655"/>
    </row>
    <row r="9" spans="1:45" ht="43.5" customHeight="1">
      <c r="C9" s="382"/>
      <c r="D9" s="4627"/>
      <c r="E9" s="4655"/>
      <c r="F9" s="4655"/>
      <c r="G9" s="747"/>
      <c r="H9" s="4733"/>
      <c r="I9" s="4735"/>
      <c r="J9" s="359" t="s">
        <v>511</v>
      </c>
      <c r="K9" s="359" t="s">
        <v>512</v>
      </c>
      <c r="L9" s="359" t="s">
        <v>513</v>
      </c>
      <c r="M9" s="364" t="s">
        <v>514</v>
      </c>
      <c r="N9" s="359" t="s">
        <v>515</v>
      </c>
      <c r="O9" s="359" t="s">
        <v>514</v>
      </c>
      <c r="P9" s="359" t="s">
        <v>516</v>
      </c>
      <c r="Q9" s="359" t="s">
        <v>514</v>
      </c>
      <c r="R9" s="4737"/>
      <c r="S9" s="743"/>
      <c r="T9" s="4733"/>
      <c r="U9" s="4733"/>
      <c r="V9" s="4733"/>
      <c r="W9" s="745"/>
      <c r="X9" s="4733"/>
      <c r="Y9" s="4733"/>
      <c r="Z9" s="4733"/>
      <c r="AA9" s="745"/>
      <c r="AB9" s="4733"/>
      <c r="AC9" s="4733"/>
      <c r="AD9" s="745"/>
      <c r="AE9" s="4655"/>
      <c r="AF9" s="4655"/>
      <c r="AG9" s="4655"/>
      <c r="AH9" s="4655"/>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20" customFormat="1" ht="11.25" hidden="1" customHeight="1">
      <c r="C11" s="425"/>
      <c r="D11" s="426" t="s">
        <v>517</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174</v>
      </c>
      <c r="E12" s="1689" t="s">
        <v>24</v>
      </c>
      <c r="F12" s="769"/>
      <c r="G12" s="770"/>
      <c r="H12" s="1690"/>
      <c r="I12" s="1690"/>
      <c r="J12" s="366"/>
      <c r="K12" s="1775"/>
      <c r="L12" s="365"/>
      <c r="M12" s="1775"/>
      <c r="N12" s="366"/>
      <c r="O12" s="1775"/>
      <c r="P12" s="366"/>
      <c r="Q12" s="1775"/>
      <c r="R12" s="366"/>
      <c r="S12" s="768"/>
      <c r="T12" s="1690"/>
      <c r="U12" s="366"/>
      <c r="V12" s="366"/>
      <c r="W12" s="745"/>
      <c r="X12" s="1690"/>
      <c r="Y12" s="366"/>
      <c r="Z12" s="366"/>
      <c r="AA12" s="745"/>
      <c r="AB12" s="1690"/>
      <c r="AC12" s="366"/>
      <c r="AD12" s="745"/>
      <c r="AE12" s="4730" t="s">
        <v>518</v>
      </c>
      <c r="AF12" s="4730" t="s">
        <v>519</v>
      </c>
      <c r="AG12" s="4730" t="s">
        <v>520</v>
      </c>
      <c r="AH12" s="4730" t="s">
        <v>521</v>
      </c>
      <c r="AI12" s="380"/>
      <c r="AM12" s="438"/>
      <c r="AP12" s="427" t="s">
        <v>522</v>
      </c>
      <c r="AQ12" s="427" t="s">
        <v>522</v>
      </c>
    </row>
    <row r="13" spans="1:45" ht="17.25" customHeight="1">
      <c r="A13" s="380"/>
      <c r="C13" s="382"/>
      <c r="D13" s="340"/>
      <c r="E13" s="783" t="str">
        <f>IF(TITLE_DIFFERENTIATION_TYPE="нет","","Добавить систему")</f>
        <v/>
      </c>
      <c r="F13" s="783"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1"/>
      <c r="AE13" s="4731"/>
      <c r="AF13" s="4731"/>
      <c r="AG13" s="4731"/>
      <c r="AH13" s="4731"/>
      <c r="AI13" s="380"/>
    </row>
    <row r="14" spans="1:45" ht="14.25" customHeight="1">
      <c r="AI14" s="380"/>
    </row>
    <row r="15" spans="1:45" ht="14.25" customHeight="1">
      <c r="E15" s="676"/>
      <c r="L15" s="676"/>
    </row>
    <row r="16" spans="1:45" ht="14.25" customHeight="1">
      <c r="L16" s="676"/>
    </row>
    <row r="17" spans="12:12" ht="14.25" customHeight="1">
      <c r="L17" s="67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G167"/>
  <sheetViews>
    <sheetView showGridLines="0" workbookViewId="0"/>
  </sheetViews>
  <sheetFormatPr defaultRowHeight="11.25" customHeight="1"/>
  <sheetData>
    <row r="1" spans="1:7" ht="11.25" customHeight="1">
      <c r="A1" s="302" t="s">
        <v>3052</v>
      </c>
      <c r="B1" s="302" t="s">
        <v>3053</v>
      </c>
      <c r="C1" s="302" t="s">
        <v>3054</v>
      </c>
      <c r="D1" s="302" t="s">
        <v>3055</v>
      </c>
      <c r="E1" t="s">
        <v>3056</v>
      </c>
      <c r="F1" t="s">
        <v>3057</v>
      </c>
      <c r="G1" t="s">
        <v>3058</v>
      </c>
    </row>
    <row r="2" spans="1:7" ht="11.25" customHeight="1">
      <c r="A2" t="s">
        <v>14</v>
      </c>
      <c r="B2" t="s">
        <v>159</v>
      </c>
      <c r="C2" t="s">
        <v>3059</v>
      </c>
      <c r="D2" t="s">
        <v>159</v>
      </c>
      <c r="E2" t="s">
        <v>3059</v>
      </c>
      <c r="F2" t="s">
        <v>3060</v>
      </c>
      <c r="G2" t="s">
        <v>174</v>
      </c>
    </row>
    <row r="3" spans="1:7" ht="11.25" customHeight="1">
      <c r="A3" t="s">
        <v>14</v>
      </c>
      <c r="B3" t="s">
        <v>159</v>
      </c>
      <c r="C3" t="s">
        <v>3059</v>
      </c>
      <c r="D3" t="s">
        <v>160</v>
      </c>
      <c r="E3" t="s">
        <v>161</v>
      </c>
      <c r="F3" t="s">
        <v>3061</v>
      </c>
      <c r="G3" t="s">
        <v>101</v>
      </c>
    </row>
    <row r="4" spans="1:7" ht="11.25" customHeight="1">
      <c r="A4" t="s">
        <v>14</v>
      </c>
      <c r="B4" t="s">
        <v>159</v>
      </c>
      <c r="C4" t="s">
        <v>3059</v>
      </c>
      <c r="D4" t="s">
        <v>3062</v>
      </c>
      <c r="E4" t="s">
        <v>3063</v>
      </c>
      <c r="F4" t="s">
        <v>3064</v>
      </c>
      <c r="G4" t="s">
        <v>88</v>
      </c>
    </row>
    <row r="5" spans="1:7" ht="11.25" customHeight="1">
      <c r="A5" t="s">
        <v>14</v>
      </c>
      <c r="B5" t="s">
        <v>159</v>
      </c>
      <c r="C5" t="s">
        <v>3059</v>
      </c>
      <c r="D5" t="s">
        <v>3065</v>
      </c>
      <c r="E5" t="s">
        <v>3066</v>
      </c>
      <c r="F5" t="s">
        <v>3064</v>
      </c>
      <c r="G5" t="s">
        <v>89</v>
      </c>
    </row>
    <row r="6" spans="1:7" ht="11.25" customHeight="1">
      <c r="A6" t="s">
        <v>14</v>
      </c>
      <c r="B6" t="s">
        <v>159</v>
      </c>
      <c r="C6" t="s">
        <v>3059</v>
      </c>
      <c r="D6" t="s">
        <v>3067</v>
      </c>
      <c r="E6" t="s">
        <v>3068</v>
      </c>
      <c r="F6" t="s">
        <v>3064</v>
      </c>
      <c r="G6" t="s">
        <v>128</v>
      </c>
    </row>
    <row r="7" spans="1:7" ht="11.25" customHeight="1">
      <c r="A7" t="s">
        <v>14</v>
      </c>
      <c r="B7" t="s">
        <v>159</v>
      </c>
      <c r="C7" t="s">
        <v>3059</v>
      </c>
      <c r="D7" t="s">
        <v>3069</v>
      </c>
      <c r="E7" t="s">
        <v>3070</v>
      </c>
      <c r="F7" t="s">
        <v>3064</v>
      </c>
      <c r="G7" t="s">
        <v>90</v>
      </c>
    </row>
    <row r="8" spans="1:7" ht="11.25" customHeight="1">
      <c r="A8" t="s">
        <v>14</v>
      </c>
      <c r="B8" t="s">
        <v>139</v>
      </c>
      <c r="C8" t="s">
        <v>3071</v>
      </c>
      <c r="D8" t="s">
        <v>139</v>
      </c>
      <c r="E8" t="s">
        <v>3071</v>
      </c>
      <c r="F8" t="s">
        <v>3060</v>
      </c>
      <c r="G8" t="s">
        <v>91</v>
      </c>
    </row>
    <row r="9" spans="1:7" ht="11.25" customHeight="1">
      <c r="A9" t="s">
        <v>14</v>
      </c>
      <c r="B9" t="s">
        <v>139</v>
      </c>
      <c r="C9" t="s">
        <v>3071</v>
      </c>
      <c r="D9" t="s">
        <v>140</v>
      </c>
      <c r="E9" t="s">
        <v>141</v>
      </c>
      <c r="F9" t="s">
        <v>3072</v>
      </c>
      <c r="G9" t="s">
        <v>138</v>
      </c>
    </row>
    <row r="10" spans="1:7" ht="11.25" customHeight="1">
      <c r="A10" t="s">
        <v>14</v>
      </c>
      <c r="B10" t="s">
        <v>139</v>
      </c>
      <c r="C10" t="s">
        <v>3071</v>
      </c>
      <c r="D10" t="s">
        <v>3073</v>
      </c>
      <c r="E10" t="s">
        <v>3074</v>
      </c>
      <c r="F10" t="s">
        <v>3061</v>
      </c>
      <c r="G10" t="s">
        <v>151</v>
      </c>
    </row>
    <row r="11" spans="1:7" ht="11.25" customHeight="1">
      <c r="A11" t="s">
        <v>14</v>
      </c>
      <c r="B11" t="s">
        <v>139</v>
      </c>
      <c r="C11" t="s">
        <v>3071</v>
      </c>
      <c r="D11" t="s">
        <v>3075</v>
      </c>
      <c r="E11" t="s">
        <v>3076</v>
      </c>
      <c r="F11" t="s">
        <v>3064</v>
      </c>
      <c r="G11" t="s">
        <v>157</v>
      </c>
    </row>
    <row r="12" spans="1:7" ht="11.25" customHeight="1">
      <c r="A12" t="s">
        <v>14</v>
      </c>
      <c r="B12" t="s">
        <v>139</v>
      </c>
      <c r="C12" t="s">
        <v>3071</v>
      </c>
      <c r="D12" t="s">
        <v>3077</v>
      </c>
      <c r="E12" t="s">
        <v>3078</v>
      </c>
      <c r="F12" t="s">
        <v>3064</v>
      </c>
      <c r="G12" t="s">
        <v>162</v>
      </c>
    </row>
    <row r="13" spans="1:7" ht="11.25" customHeight="1">
      <c r="A13" t="s">
        <v>14</v>
      </c>
      <c r="B13" t="s">
        <v>139</v>
      </c>
      <c r="C13" t="s">
        <v>3071</v>
      </c>
      <c r="D13" t="s">
        <v>3079</v>
      </c>
      <c r="E13" t="s">
        <v>3080</v>
      </c>
      <c r="F13" t="s">
        <v>3061</v>
      </c>
      <c r="G13" t="s">
        <v>210</v>
      </c>
    </row>
    <row r="14" spans="1:7" ht="11.25" customHeight="1">
      <c r="A14" t="s">
        <v>14</v>
      </c>
      <c r="B14" t="s">
        <v>139</v>
      </c>
      <c r="C14" t="s">
        <v>3071</v>
      </c>
      <c r="D14" t="s">
        <v>3081</v>
      </c>
      <c r="E14" t="s">
        <v>3082</v>
      </c>
      <c r="F14" t="s">
        <v>3061</v>
      </c>
      <c r="G14" t="s">
        <v>211</v>
      </c>
    </row>
    <row r="15" spans="1:7" ht="11.25" customHeight="1">
      <c r="A15" t="s">
        <v>14</v>
      </c>
      <c r="B15" t="s">
        <v>139</v>
      </c>
      <c r="C15" t="s">
        <v>3071</v>
      </c>
      <c r="D15" t="s">
        <v>3083</v>
      </c>
      <c r="E15" t="s">
        <v>3084</v>
      </c>
      <c r="F15" t="s">
        <v>3064</v>
      </c>
      <c r="G15" t="s">
        <v>212</v>
      </c>
    </row>
    <row r="16" spans="1:7" ht="11.25" customHeight="1">
      <c r="A16" t="s">
        <v>14</v>
      </c>
      <c r="B16" t="s">
        <v>139</v>
      </c>
      <c r="C16" t="s">
        <v>3071</v>
      </c>
      <c r="D16" t="s">
        <v>3085</v>
      </c>
      <c r="E16" t="s">
        <v>3086</v>
      </c>
      <c r="F16" t="s">
        <v>3064</v>
      </c>
      <c r="G16" t="s">
        <v>383</v>
      </c>
    </row>
    <row r="17" spans="1:7" ht="11.25" customHeight="1">
      <c r="A17" t="s">
        <v>14</v>
      </c>
      <c r="B17" t="s">
        <v>139</v>
      </c>
      <c r="C17" t="s">
        <v>3071</v>
      </c>
      <c r="D17" t="s">
        <v>3087</v>
      </c>
      <c r="E17" t="s">
        <v>3088</v>
      </c>
      <c r="F17" t="s">
        <v>3061</v>
      </c>
      <c r="G17" t="s">
        <v>389</v>
      </c>
    </row>
    <row r="18" spans="1:7" ht="11.25" customHeight="1">
      <c r="A18" t="s">
        <v>14</v>
      </c>
      <c r="B18" t="s">
        <v>3089</v>
      </c>
      <c r="C18" t="s">
        <v>3090</v>
      </c>
      <c r="D18" t="s">
        <v>3091</v>
      </c>
      <c r="E18" t="s">
        <v>3092</v>
      </c>
      <c r="F18" t="s">
        <v>3064</v>
      </c>
      <c r="G18" t="s">
        <v>395</v>
      </c>
    </row>
    <row r="19" spans="1:7" ht="11.25" customHeight="1">
      <c r="A19" t="s">
        <v>14</v>
      </c>
      <c r="B19" t="s">
        <v>3089</v>
      </c>
      <c r="C19" t="s">
        <v>3090</v>
      </c>
      <c r="D19" t="s">
        <v>3089</v>
      </c>
      <c r="E19" t="s">
        <v>3090</v>
      </c>
      <c r="F19" t="s">
        <v>3060</v>
      </c>
      <c r="G19" t="s">
        <v>401</v>
      </c>
    </row>
    <row r="20" spans="1:7" ht="11.25" customHeight="1">
      <c r="A20" t="s">
        <v>14</v>
      </c>
      <c r="B20" t="s">
        <v>3089</v>
      </c>
      <c r="C20" t="s">
        <v>3090</v>
      </c>
      <c r="D20" t="s">
        <v>3093</v>
      </c>
      <c r="E20" t="s">
        <v>3094</v>
      </c>
      <c r="F20" t="s">
        <v>3061</v>
      </c>
      <c r="G20" t="s">
        <v>1642</v>
      </c>
    </row>
    <row r="21" spans="1:7" ht="11.25" customHeight="1">
      <c r="A21" t="s">
        <v>14</v>
      </c>
      <c r="B21" t="s">
        <v>3089</v>
      </c>
      <c r="C21" t="s">
        <v>3090</v>
      </c>
      <c r="D21" t="s">
        <v>3095</v>
      </c>
      <c r="E21" t="s">
        <v>3096</v>
      </c>
      <c r="F21" t="s">
        <v>3064</v>
      </c>
      <c r="G21" t="s">
        <v>1651</v>
      </c>
    </row>
    <row r="22" spans="1:7" ht="11.25" customHeight="1">
      <c r="A22" t="s">
        <v>14</v>
      </c>
      <c r="B22" t="s">
        <v>3089</v>
      </c>
      <c r="C22" t="s">
        <v>3090</v>
      </c>
      <c r="D22" t="s">
        <v>3097</v>
      </c>
      <c r="E22" t="s">
        <v>3098</v>
      </c>
      <c r="F22" t="s">
        <v>3064</v>
      </c>
      <c r="G22" t="s">
        <v>1667</v>
      </c>
    </row>
    <row r="23" spans="1:7" ht="11.25" customHeight="1">
      <c r="A23" t="s">
        <v>14</v>
      </c>
      <c r="B23" t="s">
        <v>3089</v>
      </c>
      <c r="C23" t="s">
        <v>3090</v>
      </c>
      <c r="D23" t="s">
        <v>3099</v>
      </c>
      <c r="E23" t="s">
        <v>3100</v>
      </c>
      <c r="F23" t="s">
        <v>3064</v>
      </c>
      <c r="G23" t="s">
        <v>1674</v>
      </c>
    </row>
    <row r="24" spans="1:7" ht="11.25" customHeight="1">
      <c r="A24" t="s">
        <v>14</v>
      </c>
      <c r="B24" t="s">
        <v>3089</v>
      </c>
      <c r="C24" t="s">
        <v>3090</v>
      </c>
      <c r="D24" t="s">
        <v>3101</v>
      </c>
      <c r="E24" t="s">
        <v>3102</v>
      </c>
      <c r="F24" t="s">
        <v>3061</v>
      </c>
      <c r="G24" t="s">
        <v>1682</v>
      </c>
    </row>
    <row r="25" spans="1:7" ht="11.25" customHeight="1">
      <c r="A25" t="s">
        <v>14</v>
      </c>
      <c r="B25" t="s">
        <v>3103</v>
      </c>
      <c r="C25" t="s">
        <v>3104</v>
      </c>
      <c r="D25" t="s">
        <v>3105</v>
      </c>
      <c r="E25" t="s">
        <v>3106</v>
      </c>
      <c r="F25" t="s">
        <v>3064</v>
      </c>
      <c r="G25" t="s">
        <v>1689</v>
      </c>
    </row>
    <row r="26" spans="1:7" ht="11.25" customHeight="1">
      <c r="A26" t="s">
        <v>14</v>
      </c>
      <c r="B26" t="s">
        <v>3103</v>
      </c>
      <c r="C26" t="s">
        <v>3104</v>
      </c>
      <c r="D26" t="s">
        <v>3107</v>
      </c>
      <c r="E26" t="s">
        <v>3108</v>
      </c>
      <c r="F26" t="s">
        <v>3061</v>
      </c>
      <c r="G26" t="s">
        <v>1693</v>
      </c>
    </row>
    <row r="27" spans="1:7" ht="11.25" customHeight="1">
      <c r="A27" t="s">
        <v>14</v>
      </c>
      <c r="B27" t="s">
        <v>3103</v>
      </c>
      <c r="C27" t="s">
        <v>3104</v>
      </c>
      <c r="D27" t="s">
        <v>3103</v>
      </c>
      <c r="E27" t="s">
        <v>3104</v>
      </c>
      <c r="F27" t="s">
        <v>3060</v>
      </c>
      <c r="G27" t="s">
        <v>1698</v>
      </c>
    </row>
    <row r="28" spans="1:7" ht="11.25" customHeight="1">
      <c r="A28" t="s">
        <v>14</v>
      </c>
      <c r="B28" t="s">
        <v>3103</v>
      </c>
      <c r="C28" t="s">
        <v>3104</v>
      </c>
      <c r="D28" t="s">
        <v>3109</v>
      </c>
      <c r="E28" t="s">
        <v>3110</v>
      </c>
      <c r="F28" t="s">
        <v>3072</v>
      </c>
      <c r="G28" t="s">
        <v>1706</v>
      </c>
    </row>
    <row r="29" spans="1:7" ht="11.25" customHeight="1">
      <c r="A29" t="s">
        <v>14</v>
      </c>
      <c r="B29" t="s">
        <v>3103</v>
      </c>
      <c r="C29" t="s">
        <v>3104</v>
      </c>
      <c r="D29" t="s">
        <v>3111</v>
      </c>
      <c r="E29" t="s">
        <v>3112</v>
      </c>
      <c r="F29" t="s">
        <v>3064</v>
      </c>
      <c r="G29" t="s">
        <v>1708</v>
      </c>
    </row>
    <row r="30" spans="1:7" ht="11.25" customHeight="1">
      <c r="A30" t="s">
        <v>14</v>
      </c>
      <c r="B30" t="s">
        <v>3103</v>
      </c>
      <c r="C30" t="s">
        <v>3104</v>
      </c>
      <c r="D30" t="s">
        <v>3113</v>
      </c>
      <c r="E30" t="s">
        <v>3114</v>
      </c>
      <c r="F30" t="s">
        <v>3064</v>
      </c>
      <c r="G30" t="s">
        <v>1711</v>
      </c>
    </row>
    <row r="31" spans="1:7" ht="11.25" customHeight="1">
      <c r="A31" t="s">
        <v>14</v>
      </c>
      <c r="B31" t="s">
        <v>3103</v>
      </c>
      <c r="C31" t="s">
        <v>3104</v>
      </c>
      <c r="D31" t="s">
        <v>3115</v>
      </c>
      <c r="E31" t="s">
        <v>3116</v>
      </c>
      <c r="F31" t="s">
        <v>3064</v>
      </c>
      <c r="G31" t="s">
        <v>1716</v>
      </c>
    </row>
    <row r="32" spans="1:7" ht="11.25" customHeight="1">
      <c r="A32" t="s">
        <v>14</v>
      </c>
      <c r="B32" t="s">
        <v>3103</v>
      </c>
      <c r="C32" t="s">
        <v>3104</v>
      </c>
      <c r="D32" t="s">
        <v>3117</v>
      </c>
      <c r="E32" t="s">
        <v>3118</v>
      </c>
      <c r="F32" t="s">
        <v>3064</v>
      </c>
      <c r="G32" t="s">
        <v>1718</v>
      </c>
    </row>
    <row r="33" spans="1:7" ht="11.25" customHeight="1">
      <c r="A33" t="s">
        <v>14</v>
      </c>
      <c r="B33" t="s">
        <v>3103</v>
      </c>
      <c r="C33" t="s">
        <v>3104</v>
      </c>
      <c r="D33" t="s">
        <v>3119</v>
      </c>
      <c r="E33" t="s">
        <v>3120</v>
      </c>
      <c r="F33" t="s">
        <v>3064</v>
      </c>
      <c r="G33" t="s">
        <v>1720</v>
      </c>
    </row>
    <row r="34" spans="1:7" ht="11.25" customHeight="1">
      <c r="A34" t="s">
        <v>14</v>
      </c>
      <c r="B34" t="s">
        <v>131</v>
      </c>
      <c r="C34" t="s">
        <v>3121</v>
      </c>
      <c r="D34" t="s">
        <v>3122</v>
      </c>
      <c r="E34" t="s">
        <v>3123</v>
      </c>
      <c r="F34" t="s">
        <v>3064</v>
      </c>
      <c r="G34" t="s">
        <v>1722</v>
      </c>
    </row>
    <row r="35" spans="1:7" ht="11.25" customHeight="1">
      <c r="A35" t="s">
        <v>14</v>
      </c>
      <c r="B35" t="s">
        <v>131</v>
      </c>
      <c r="C35" t="s">
        <v>3121</v>
      </c>
      <c r="D35" t="s">
        <v>3124</v>
      </c>
      <c r="E35" t="s">
        <v>3125</v>
      </c>
      <c r="F35" t="s">
        <v>3064</v>
      </c>
      <c r="G35" t="s">
        <v>1727</v>
      </c>
    </row>
    <row r="36" spans="1:7" ht="11.25" customHeight="1">
      <c r="A36" t="s">
        <v>14</v>
      </c>
      <c r="B36" t="s">
        <v>131</v>
      </c>
      <c r="C36" t="s">
        <v>3121</v>
      </c>
      <c r="D36" t="s">
        <v>3126</v>
      </c>
      <c r="E36" t="s">
        <v>3127</v>
      </c>
      <c r="F36" t="s">
        <v>3064</v>
      </c>
      <c r="G36" t="s">
        <v>1732</v>
      </c>
    </row>
    <row r="37" spans="1:7" ht="11.25" customHeight="1">
      <c r="A37" t="s">
        <v>14</v>
      </c>
      <c r="B37" t="s">
        <v>131</v>
      </c>
      <c r="C37" t="s">
        <v>3121</v>
      </c>
      <c r="D37" t="s">
        <v>131</v>
      </c>
      <c r="E37" t="s">
        <v>3121</v>
      </c>
      <c r="F37" t="s">
        <v>3060</v>
      </c>
      <c r="G37" t="s">
        <v>1736</v>
      </c>
    </row>
    <row r="38" spans="1:7" ht="11.25" customHeight="1">
      <c r="A38" t="s">
        <v>14</v>
      </c>
      <c r="B38" t="s">
        <v>131</v>
      </c>
      <c r="C38" t="s">
        <v>3121</v>
      </c>
      <c r="D38" t="s">
        <v>132</v>
      </c>
      <c r="E38" t="s">
        <v>133</v>
      </c>
      <c r="F38" t="s">
        <v>3061</v>
      </c>
      <c r="G38" t="s">
        <v>130</v>
      </c>
    </row>
    <row r="39" spans="1:7" ht="11.25" customHeight="1">
      <c r="A39" t="s">
        <v>14</v>
      </c>
      <c r="B39" t="s">
        <v>131</v>
      </c>
      <c r="C39" t="s">
        <v>3121</v>
      </c>
      <c r="D39" t="s">
        <v>3128</v>
      </c>
      <c r="E39" t="s">
        <v>3129</v>
      </c>
      <c r="F39" t="s">
        <v>3064</v>
      </c>
      <c r="G39" t="s">
        <v>1749</v>
      </c>
    </row>
    <row r="40" spans="1:7" ht="11.25" customHeight="1">
      <c r="A40" t="s">
        <v>14</v>
      </c>
      <c r="B40" t="s">
        <v>131</v>
      </c>
      <c r="C40" t="s">
        <v>3121</v>
      </c>
      <c r="D40" t="s">
        <v>3130</v>
      </c>
      <c r="E40" t="s">
        <v>3131</v>
      </c>
      <c r="F40" t="s">
        <v>3064</v>
      </c>
      <c r="G40" t="s">
        <v>1754</v>
      </c>
    </row>
    <row r="41" spans="1:7" ht="11.25" customHeight="1">
      <c r="A41" t="s">
        <v>14</v>
      </c>
      <c r="B41" t="s">
        <v>131</v>
      </c>
      <c r="C41" t="s">
        <v>3121</v>
      </c>
      <c r="D41" t="s">
        <v>3132</v>
      </c>
      <c r="E41" t="s">
        <v>3133</v>
      </c>
      <c r="F41" t="s">
        <v>3064</v>
      </c>
      <c r="G41" t="s">
        <v>1758</v>
      </c>
    </row>
    <row r="42" spans="1:7" ht="11.25" customHeight="1">
      <c r="A42" t="s">
        <v>14</v>
      </c>
      <c r="B42" t="s">
        <v>131</v>
      </c>
      <c r="C42" t="s">
        <v>3121</v>
      </c>
      <c r="D42" t="s">
        <v>135</v>
      </c>
      <c r="E42" t="s">
        <v>136</v>
      </c>
      <c r="F42" t="s">
        <v>3061</v>
      </c>
      <c r="G42" t="s">
        <v>134</v>
      </c>
    </row>
    <row r="43" spans="1:7" ht="11.25" customHeight="1">
      <c r="A43" t="s">
        <v>14</v>
      </c>
      <c r="B43" t="s">
        <v>165</v>
      </c>
      <c r="C43" t="s">
        <v>3134</v>
      </c>
      <c r="D43" t="s">
        <v>3135</v>
      </c>
      <c r="E43" t="s">
        <v>3136</v>
      </c>
      <c r="F43" t="s">
        <v>3064</v>
      </c>
      <c r="G43" t="s">
        <v>1767</v>
      </c>
    </row>
    <row r="44" spans="1:7" ht="11.25" customHeight="1">
      <c r="A44" t="s">
        <v>14</v>
      </c>
      <c r="B44" t="s">
        <v>165</v>
      </c>
      <c r="C44" t="s">
        <v>3134</v>
      </c>
      <c r="D44" t="s">
        <v>3137</v>
      </c>
      <c r="E44" t="s">
        <v>3138</v>
      </c>
      <c r="F44" t="s">
        <v>3064</v>
      </c>
      <c r="G44" t="s">
        <v>1776</v>
      </c>
    </row>
    <row r="45" spans="1:7" ht="11.25" customHeight="1">
      <c r="A45" t="s">
        <v>14</v>
      </c>
      <c r="B45" t="s">
        <v>165</v>
      </c>
      <c r="C45" t="s">
        <v>3134</v>
      </c>
      <c r="D45" t="s">
        <v>3139</v>
      </c>
      <c r="E45" t="s">
        <v>3140</v>
      </c>
      <c r="F45" t="s">
        <v>3064</v>
      </c>
      <c r="G45" t="s">
        <v>1781</v>
      </c>
    </row>
    <row r="46" spans="1:7" ht="11.25" customHeight="1">
      <c r="A46" t="s">
        <v>14</v>
      </c>
      <c r="B46" t="s">
        <v>165</v>
      </c>
      <c r="C46" t="s">
        <v>3134</v>
      </c>
      <c r="D46" t="s">
        <v>165</v>
      </c>
      <c r="E46" t="s">
        <v>3134</v>
      </c>
      <c r="F46" t="s">
        <v>3060</v>
      </c>
      <c r="G46" t="s">
        <v>1785</v>
      </c>
    </row>
    <row r="47" spans="1:7" ht="11.25" customHeight="1">
      <c r="A47" t="s">
        <v>14</v>
      </c>
      <c r="B47" t="s">
        <v>165</v>
      </c>
      <c r="C47" t="s">
        <v>3134</v>
      </c>
      <c r="D47" t="s">
        <v>166</v>
      </c>
      <c r="E47" t="s">
        <v>167</v>
      </c>
      <c r="F47" t="s">
        <v>3061</v>
      </c>
      <c r="G47" t="s">
        <v>164</v>
      </c>
    </row>
    <row r="48" spans="1:7" ht="11.25" customHeight="1">
      <c r="A48" t="s">
        <v>14</v>
      </c>
      <c r="B48" t="s">
        <v>165</v>
      </c>
      <c r="C48" t="s">
        <v>3134</v>
      </c>
      <c r="D48" t="s">
        <v>3141</v>
      </c>
      <c r="E48" t="s">
        <v>3142</v>
      </c>
      <c r="F48" t="s">
        <v>3064</v>
      </c>
      <c r="G48" t="s">
        <v>1795</v>
      </c>
    </row>
    <row r="49" spans="1:7" ht="11.25" customHeight="1">
      <c r="A49" t="s">
        <v>14</v>
      </c>
      <c r="B49" t="s">
        <v>165</v>
      </c>
      <c r="C49" t="s">
        <v>3134</v>
      </c>
      <c r="D49" t="s">
        <v>3143</v>
      </c>
      <c r="E49" t="s">
        <v>3144</v>
      </c>
      <c r="F49" t="s">
        <v>3064</v>
      </c>
      <c r="G49" t="s">
        <v>1798</v>
      </c>
    </row>
    <row r="50" spans="1:7" ht="11.25" customHeight="1">
      <c r="A50" t="s">
        <v>14</v>
      </c>
      <c r="B50" t="s">
        <v>125</v>
      </c>
      <c r="C50" t="s">
        <v>3145</v>
      </c>
      <c r="D50" t="s">
        <v>3146</v>
      </c>
      <c r="E50" t="s">
        <v>3147</v>
      </c>
      <c r="F50" t="s">
        <v>3064</v>
      </c>
      <c r="G50" t="s">
        <v>1802</v>
      </c>
    </row>
    <row r="51" spans="1:7" ht="11.25" customHeight="1">
      <c r="A51" t="s">
        <v>14</v>
      </c>
      <c r="B51" t="s">
        <v>125</v>
      </c>
      <c r="C51" t="s">
        <v>3145</v>
      </c>
      <c r="D51" t="s">
        <v>3148</v>
      </c>
      <c r="E51" t="s">
        <v>3149</v>
      </c>
      <c r="F51" t="s">
        <v>3064</v>
      </c>
      <c r="G51" t="s">
        <v>1806</v>
      </c>
    </row>
    <row r="52" spans="1:7" ht="11.25" customHeight="1">
      <c r="A52" t="s">
        <v>14</v>
      </c>
      <c r="B52" t="s">
        <v>125</v>
      </c>
      <c r="C52" t="s">
        <v>3145</v>
      </c>
      <c r="D52" t="s">
        <v>3150</v>
      </c>
      <c r="E52" t="s">
        <v>3151</v>
      </c>
      <c r="F52" t="s">
        <v>3064</v>
      </c>
      <c r="G52" t="s">
        <v>1810</v>
      </c>
    </row>
    <row r="53" spans="1:7" ht="11.25" customHeight="1">
      <c r="A53" t="s">
        <v>14</v>
      </c>
      <c r="B53" t="s">
        <v>125</v>
      </c>
      <c r="C53" t="s">
        <v>3145</v>
      </c>
      <c r="D53" t="s">
        <v>3152</v>
      </c>
      <c r="E53" t="s">
        <v>3153</v>
      </c>
      <c r="F53" t="s">
        <v>3061</v>
      </c>
      <c r="G53" t="s">
        <v>1812</v>
      </c>
    </row>
    <row r="54" spans="1:7" ht="11.25" customHeight="1">
      <c r="A54" t="s">
        <v>14</v>
      </c>
      <c r="B54" t="s">
        <v>125</v>
      </c>
      <c r="C54" t="s">
        <v>3145</v>
      </c>
      <c r="D54" t="s">
        <v>125</v>
      </c>
      <c r="E54" t="s">
        <v>3145</v>
      </c>
      <c r="F54" t="s">
        <v>3060</v>
      </c>
      <c r="G54" t="s">
        <v>1815</v>
      </c>
    </row>
    <row r="55" spans="1:7" ht="11.25" customHeight="1">
      <c r="A55" t="s">
        <v>14</v>
      </c>
      <c r="B55" t="s">
        <v>125</v>
      </c>
      <c r="C55" t="s">
        <v>3145</v>
      </c>
      <c r="D55" t="s">
        <v>126</v>
      </c>
      <c r="E55" t="s">
        <v>127</v>
      </c>
      <c r="F55" t="s">
        <v>3061</v>
      </c>
      <c r="G55" t="s">
        <v>124</v>
      </c>
    </row>
    <row r="56" spans="1:7" ht="11.25" customHeight="1">
      <c r="A56" t="s">
        <v>14</v>
      </c>
      <c r="B56" t="s">
        <v>125</v>
      </c>
      <c r="C56" t="s">
        <v>3145</v>
      </c>
      <c r="D56" t="s">
        <v>3154</v>
      </c>
      <c r="E56" t="s">
        <v>3155</v>
      </c>
      <c r="F56" t="s">
        <v>3064</v>
      </c>
      <c r="G56" t="s">
        <v>1821</v>
      </c>
    </row>
    <row r="57" spans="1:7" ht="11.25" customHeight="1">
      <c r="A57" t="s">
        <v>14</v>
      </c>
      <c r="B57" t="s">
        <v>125</v>
      </c>
      <c r="C57" t="s">
        <v>3145</v>
      </c>
      <c r="D57" t="s">
        <v>3156</v>
      </c>
      <c r="E57" t="s">
        <v>3157</v>
      </c>
      <c r="F57" t="s">
        <v>3064</v>
      </c>
      <c r="G57" t="s">
        <v>1824</v>
      </c>
    </row>
    <row r="58" spans="1:7" ht="11.25" customHeight="1">
      <c r="A58" t="s">
        <v>14</v>
      </c>
      <c r="B58" t="s">
        <v>3158</v>
      </c>
      <c r="C58" t="s">
        <v>3159</v>
      </c>
      <c r="D58" t="s">
        <v>3160</v>
      </c>
      <c r="E58" t="s">
        <v>3161</v>
      </c>
      <c r="F58" t="s">
        <v>3064</v>
      </c>
      <c r="G58" t="s">
        <v>1827</v>
      </c>
    </row>
    <row r="59" spans="1:7" ht="11.25" customHeight="1">
      <c r="A59" t="s">
        <v>14</v>
      </c>
      <c r="B59" t="s">
        <v>3158</v>
      </c>
      <c r="C59" t="s">
        <v>3159</v>
      </c>
      <c r="D59" t="s">
        <v>3158</v>
      </c>
      <c r="E59" t="s">
        <v>3159</v>
      </c>
      <c r="F59" t="s">
        <v>3060</v>
      </c>
      <c r="G59" t="s">
        <v>1831</v>
      </c>
    </row>
    <row r="60" spans="1:7" ht="11.25" customHeight="1">
      <c r="A60" t="s">
        <v>14</v>
      </c>
      <c r="B60" t="s">
        <v>3158</v>
      </c>
      <c r="C60" t="s">
        <v>3159</v>
      </c>
      <c r="D60" t="s">
        <v>3162</v>
      </c>
      <c r="E60" t="s">
        <v>3163</v>
      </c>
      <c r="F60" t="s">
        <v>3061</v>
      </c>
      <c r="G60" t="s">
        <v>1834</v>
      </c>
    </row>
    <row r="61" spans="1:7" ht="11.25" customHeight="1">
      <c r="A61" t="s">
        <v>14</v>
      </c>
      <c r="B61" t="s">
        <v>3158</v>
      </c>
      <c r="C61" t="s">
        <v>3159</v>
      </c>
      <c r="D61" t="s">
        <v>3164</v>
      </c>
      <c r="E61" t="s">
        <v>3165</v>
      </c>
      <c r="F61" t="s">
        <v>3064</v>
      </c>
      <c r="G61" t="s">
        <v>3166</v>
      </c>
    </row>
    <row r="62" spans="1:7" ht="11.25" customHeight="1">
      <c r="A62" t="s">
        <v>14</v>
      </c>
      <c r="B62" t="s">
        <v>3158</v>
      </c>
      <c r="C62" t="s">
        <v>3159</v>
      </c>
      <c r="D62" t="s">
        <v>3167</v>
      </c>
      <c r="E62" t="s">
        <v>3168</v>
      </c>
      <c r="F62" t="s">
        <v>3061</v>
      </c>
      <c r="G62" t="s">
        <v>3169</v>
      </c>
    </row>
    <row r="63" spans="1:7" ht="11.25" customHeight="1">
      <c r="A63" t="s">
        <v>14</v>
      </c>
      <c r="B63" t="s">
        <v>3158</v>
      </c>
      <c r="C63" t="s">
        <v>3159</v>
      </c>
      <c r="D63" t="s">
        <v>3170</v>
      </c>
      <c r="E63" t="s">
        <v>3171</v>
      </c>
      <c r="F63" t="s">
        <v>3064</v>
      </c>
      <c r="G63" t="s">
        <v>3172</v>
      </c>
    </row>
    <row r="64" spans="1:7" ht="11.25" customHeight="1">
      <c r="A64" t="s">
        <v>14</v>
      </c>
      <c r="B64" t="s">
        <v>3158</v>
      </c>
      <c r="C64" t="s">
        <v>3159</v>
      </c>
      <c r="D64" t="s">
        <v>3173</v>
      </c>
      <c r="E64" t="s">
        <v>3174</v>
      </c>
      <c r="F64" t="s">
        <v>3064</v>
      </c>
      <c r="G64" t="s">
        <v>3175</v>
      </c>
    </row>
    <row r="65" spans="1:7" ht="11.25" customHeight="1">
      <c r="A65" t="s">
        <v>14</v>
      </c>
      <c r="B65" t="s">
        <v>3158</v>
      </c>
      <c r="C65" t="s">
        <v>3159</v>
      </c>
      <c r="D65" t="s">
        <v>3176</v>
      </c>
      <c r="E65" t="s">
        <v>3177</v>
      </c>
      <c r="F65" t="s">
        <v>3064</v>
      </c>
      <c r="G65" t="s">
        <v>3178</v>
      </c>
    </row>
    <row r="66" spans="1:7" ht="11.25" customHeight="1">
      <c r="A66" t="s">
        <v>14</v>
      </c>
      <c r="B66" t="s">
        <v>3158</v>
      </c>
      <c r="C66" t="s">
        <v>3159</v>
      </c>
      <c r="D66" t="s">
        <v>3179</v>
      </c>
      <c r="E66" t="s">
        <v>3180</v>
      </c>
      <c r="F66" t="s">
        <v>3064</v>
      </c>
      <c r="G66" t="s">
        <v>3181</v>
      </c>
    </row>
    <row r="67" spans="1:7" ht="11.25" customHeight="1">
      <c r="A67" t="s">
        <v>14</v>
      </c>
      <c r="B67" t="s">
        <v>154</v>
      </c>
      <c r="C67" t="s">
        <v>3182</v>
      </c>
      <c r="D67" t="s">
        <v>3183</v>
      </c>
      <c r="E67" t="s">
        <v>3184</v>
      </c>
      <c r="F67" t="s">
        <v>3064</v>
      </c>
      <c r="G67" t="s">
        <v>2055</v>
      </c>
    </row>
    <row r="68" spans="1:7" ht="11.25" customHeight="1">
      <c r="A68" t="s">
        <v>14</v>
      </c>
      <c r="B68" t="s">
        <v>154</v>
      </c>
      <c r="C68" t="s">
        <v>3182</v>
      </c>
      <c r="D68" t="s">
        <v>3185</v>
      </c>
      <c r="E68" t="s">
        <v>3186</v>
      </c>
      <c r="F68" t="s">
        <v>3064</v>
      </c>
      <c r="G68" t="s">
        <v>3187</v>
      </c>
    </row>
    <row r="69" spans="1:7" ht="11.25" customHeight="1">
      <c r="A69" t="s">
        <v>14</v>
      </c>
      <c r="B69" t="s">
        <v>154</v>
      </c>
      <c r="C69" t="s">
        <v>3182</v>
      </c>
      <c r="D69" t="s">
        <v>3188</v>
      </c>
      <c r="E69" t="s">
        <v>3189</v>
      </c>
      <c r="F69" t="s">
        <v>3064</v>
      </c>
      <c r="G69" t="s">
        <v>2266</v>
      </c>
    </row>
    <row r="70" spans="1:7" ht="11.25" customHeight="1">
      <c r="A70" t="s">
        <v>14</v>
      </c>
      <c r="B70" t="s">
        <v>154</v>
      </c>
      <c r="C70" t="s">
        <v>3182</v>
      </c>
      <c r="D70" t="s">
        <v>3190</v>
      </c>
      <c r="E70" t="s">
        <v>3191</v>
      </c>
      <c r="F70" t="s">
        <v>3064</v>
      </c>
      <c r="G70" t="s">
        <v>3192</v>
      </c>
    </row>
    <row r="71" spans="1:7" ht="11.25" customHeight="1">
      <c r="A71" t="s">
        <v>14</v>
      </c>
      <c r="B71" t="s">
        <v>154</v>
      </c>
      <c r="C71" t="s">
        <v>3182</v>
      </c>
      <c r="D71" t="s">
        <v>154</v>
      </c>
      <c r="E71" t="s">
        <v>3182</v>
      </c>
      <c r="F71" t="s">
        <v>3060</v>
      </c>
      <c r="G71" t="s">
        <v>3193</v>
      </c>
    </row>
    <row r="72" spans="1:7" ht="11.25" customHeight="1">
      <c r="A72" t="s">
        <v>14</v>
      </c>
      <c r="B72" t="s">
        <v>154</v>
      </c>
      <c r="C72" t="s">
        <v>3182</v>
      </c>
      <c r="D72" t="s">
        <v>155</v>
      </c>
      <c r="E72" t="s">
        <v>156</v>
      </c>
      <c r="F72" t="s">
        <v>3061</v>
      </c>
      <c r="G72" t="s">
        <v>153</v>
      </c>
    </row>
    <row r="73" spans="1:7" ht="11.25" customHeight="1">
      <c r="A73" t="s">
        <v>14</v>
      </c>
      <c r="B73" t="s">
        <v>154</v>
      </c>
      <c r="C73" t="s">
        <v>3182</v>
      </c>
      <c r="D73" t="s">
        <v>3194</v>
      </c>
      <c r="E73" t="s">
        <v>3195</v>
      </c>
      <c r="F73" t="s">
        <v>3064</v>
      </c>
      <c r="G73" t="s">
        <v>3196</v>
      </c>
    </row>
    <row r="74" spans="1:7" ht="11.25" customHeight="1">
      <c r="A74" t="s">
        <v>14</v>
      </c>
      <c r="B74" t="s">
        <v>154</v>
      </c>
      <c r="C74" t="s">
        <v>3182</v>
      </c>
      <c r="D74" t="s">
        <v>3197</v>
      </c>
      <c r="E74" t="s">
        <v>3198</v>
      </c>
      <c r="F74" t="s">
        <v>3064</v>
      </c>
      <c r="G74" t="s">
        <v>3199</v>
      </c>
    </row>
    <row r="75" spans="1:7" ht="11.25" customHeight="1">
      <c r="A75" t="s">
        <v>14</v>
      </c>
      <c r="B75" t="s">
        <v>154</v>
      </c>
      <c r="C75" t="s">
        <v>3182</v>
      </c>
      <c r="D75" t="s">
        <v>3200</v>
      </c>
      <c r="E75" t="s">
        <v>3201</v>
      </c>
      <c r="F75" t="s">
        <v>3064</v>
      </c>
      <c r="G75" t="s">
        <v>3202</v>
      </c>
    </row>
    <row r="76" spans="1:7" ht="11.25" customHeight="1">
      <c r="A76" t="s">
        <v>14</v>
      </c>
      <c r="B76" t="s">
        <v>154</v>
      </c>
      <c r="C76" t="s">
        <v>3182</v>
      </c>
      <c r="D76" t="s">
        <v>3203</v>
      </c>
      <c r="E76" t="s">
        <v>3204</v>
      </c>
      <c r="F76" t="s">
        <v>3064</v>
      </c>
      <c r="G76" t="s">
        <v>3205</v>
      </c>
    </row>
    <row r="77" spans="1:7" ht="11.25" customHeight="1">
      <c r="A77" t="s">
        <v>14</v>
      </c>
      <c r="B77" t="s">
        <v>3206</v>
      </c>
      <c r="C77" t="s">
        <v>3207</v>
      </c>
      <c r="D77" t="s">
        <v>3208</v>
      </c>
      <c r="E77" t="s">
        <v>3209</v>
      </c>
      <c r="F77" t="s">
        <v>3064</v>
      </c>
      <c r="G77" t="s">
        <v>3210</v>
      </c>
    </row>
    <row r="78" spans="1:7" ht="11.25" customHeight="1">
      <c r="A78" t="s">
        <v>14</v>
      </c>
      <c r="B78" t="s">
        <v>3206</v>
      </c>
      <c r="C78" t="s">
        <v>3207</v>
      </c>
      <c r="D78" t="s">
        <v>3206</v>
      </c>
      <c r="E78" t="s">
        <v>3207</v>
      </c>
      <c r="F78" t="s">
        <v>3060</v>
      </c>
      <c r="G78" t="s">
        <v>3211</v>
      </c>
    </row>
    <row r="79" spans="1:7" ht="11.25" customHeight="1">
      <c r="A79" t="s">
        <v>14</v>
      </c>
      <c r="B79" t="s">
        <v>3206</v>
      </c>
      <c r="C79" t="s">
        <v>3207</v>
      </c>
      <c r="D79" t="s">
        <v>3212</v>
      </c>
      <c r="E79" t="s">
        <v>3213</v>
      </c>
      <c r="F79" t="s">
        <v>3064</v>
      </c>
      <c r="G79" t="s">
        <v>3214</v>
      </c>
    </row>
    <row r="80" spans="1:7" ht="11.25" customHeight="1">
      <c r="A80" t="s">
        <v>14</v>
      </c>
      <c r="B80" t="s">
        <v>3206</v>
      </c>
      <c r="C80" t="s">
        <v>3207</v>
      </c>
      <c r="D80" t="s">
        <v>3215</v>
      </c>
      <c r="E80" t="s">
        <v>3216</v>
      </c>
      <c r="F80" t="s">
        <v>3064</v>
      </c>
      <c r="G80" t="s">
        <v>3217</v>
      </c>
    </row>
    <row r="81" spans="1:7" ht="11.25" customHeight="1">
      <c r="A81" t="s">
        <v>14</v>
      </c>
      <c r="B81" t="s">
        <v>3206</v>
      </c>
      <c r="C81" t="s">
        <v>3207</v>
      </c>
      <c r="D81" t="s">
        <v>3218</v>
      </c>
      <c r="E81" t="s">
        <v>3219</v>
      </c>
      <c r="F81" t="s">
        <v>3064</v>
      </c>
      <c r="G81" t="s">
        <v>3220</v>
      </c>
    </row>
    <row r="82" spans="1:7" ht="11.25" customHeight="1">
      <c r="A82" t="s">
        <v>14</v>
      </c>
      <c r="B82" t="s">
        <v>3206</v>
      </c>
      <c r="C82" t="s">
        <v>3207</v>
      </c>
      <c r="D82" t="s">
        <v>3221</v>
      </c>
      <c r="E82" t="s">
        <v>3222</v>
      </c>
      <c r="F82" t="s">
        <v>3064</v>
      </c>
      <c r="G82" t="s">
        <v>3223</v>
      </c>
    </row>
    <row r="83" spans="1:7" ht="11.25" customHeight="1">
      <c r="A83" t="s">
        <v>14</v>
      </c>
      <c r="B83" t="s">
        <v>3224</v>
      </c>
      <c r="C83" t="s">
        <v>3225</v>
      </c>
      <c r="D83" t="s">
        <v>3226</v>
      </c>
      <c r="E83" t="s">
        <v>3227</v>
      </c>
      <c r="F83" t="s">
        <v>3064</v>
      </c>
      <c r="G83" t="s">
        <v>3228</v>
      </c>
    </row>
    <row r="84" spans="1:7" ht="11.25" customHeight="1">
      <c r="A84" t="s">
        <v>14</v>
      </c>
      <c r="B84" t="s">
        <v>3224</v>
      </c>
      <c r="C84" t="s">
        <v>3225</v>
      </c>
      <c r="D84" t="s">
        <v>3229</v>
      </c>
      <c r="E84" t="s">
        <v>3230</v>
      </c>
      <c r="F84" t="s">
        <v>3064</v>
      </c>
      <c r="G84" t="s">
        <v>3231</v>
      </c>
    </row>
    <row r="85" spans="1:7" ht="11.25" customHeight="1">
      <c r="A85" t="s">
        <v>14</v>
      </c>
      <c r="B85" t="s">
        <v>3224</v>
      </c>
      <c r="C85" t="s">
        <v>3225</v>
      </c>
      <c r="D85" t="s">
        <v>3224</v>
      </c>
      <c r="E85" t="s">
        <v>3225</v>
      </c>
      <c r="F85" t="s">
        <v>3060</v>
      </c>
      <c r="G85" t="s">
        <v>3232</v>
      </c>
    </row>
    <row r="86" spans="1:7" ht="11.25" customHeight="1">
      <c r="A86" t="s">
        <v>14</v>
      </c>
      <c r="B86" t="s">
        <v>3224</v>
      </c>
      <c r="C86" t="s">
        <v>3225</v>
      </c>
      <c r="D86" t="s">
        <v>3233</v>
      </c>
      <c r="E86" t="s">
        <v>3234</v>
      </c>
      <c r="F86" t="s">
        <v>3061</v>
      </c>
      <c r="G86" t="s">
        <v>3235</v>
      </c>
    </row>
    <row r="87" spans="1:7" ht="11.25" customHeight="1">
      <c r="A87" t="s">
        <v>14</v>
      </c>
      <c r="B87" t="s">
        <v>3224</v>
      </c>
      <c r="C87" t="s">
        <v>3225</v>
      </c>
      <c r="D87" t="s">
        <v>3236</v>
      </c>
      <c r="E87" t="s">
        <v>3237</v>
      </c>
      <c r="F87" t="s">
        <v>3064</v>
      </c>
      <c r="G87" t="s">
        <v>3238</v>
      </c>
    </row>
    <row r="88" spans="1:7" ht="11.25" customHeight="1">
      <c r="A88" t="s">
        <v>14</v>
      </c>
      <c r="B88" t="s">
        <v>3224</v>
      </c>
      <c r="C88" t="s">
        <v>3225</v>
      </c>
      <c r="D88" t="s">
        <v>3239</v>
      </c>
      <c r="E88" t="s">
        <v>3240</v>
      </c>
      <c r="F88" t="s">
        <v>3064</v>
      </c>
      <c r="G88" t="s">
        <v>3241</v>
      </c>
    </row>
    <row r="89" spans="1:7" ht="11.25" customHeight="1">
      <c r="A89" t="s">
        <v>14</v>
      </c>
      <c r="B89" t="s">
        <v>3224</v>
      </c>
      <c r="C89" t="s">
        <v>3225</v>
      </c>
      <c r="D89" t="s">
        <v>3242</v>
      </c>
      <c r="E89" t="s">
        <v>3243</v>
      </c>
      <c r="F89" t="s">
        <v>3064</v>
      </c>
      <c r="G89" t="s">
        <v>3244</v>
      </c>
    </row>
    <row r="90" spans="1:7" ht="11.25" customHeight="1">
      <c r="A90" t="s">
        <v>14</v>
      </c>
      <c r="B90" t="s">
        <v>144</v>
      </c>
      <c r="C90" t="s">
        <v>3245</v>
      </c>
      <c r="D90" t="s">
        <v>3246</v>
      </c>
      <c r="E90" t="s">
        <v>3247</v>
      </c>
      <c r="F90" t="s">
        <v>3064</v>
      </c>
      <c r="G90" t="s">
        <v>3248</v>
      </c>
    </row>
    <row r="91" spans="1:7" ht="11.25" customHeight="1">
      <c r="A91" t="s">
        <v>14</v>
      </c>
      <c r="B91" t="s">
        <v>144</v>
      </c>
      <c r="C91" t="s">
        <v>3245</v>
      </c>
      <c r="D91" t="s">
        <v>144</v>
      </c>
      <c r="E91" t="s">
        <v>3245</v>
      </c>
      <c r="F91" t="s">
        <v>3060</v>
      </c>
      <c r="G91" t="s">
        <v>3249</v>
      </c>
    </row>
    <row r="92" spans="1:7" ht="11.25" customHeight="1">
      <c r="A92" t="s">
        <v>14</v>
      </c>
      <c r="B92" t="s">
        <v>144</v>
      </c>
      <c r="C92" t="s">
        <v>3245</v>
      </c>
      <c r="D92" t="s">
        <v>145</v>
      </c>
      <c r="E92" t="s">
        <v>146</v>
      </c>
      <c r="F92" t="s">
        <v>3061</v>
      </c>
      <c r="G92" t="s">
        <v>143</v>
      </c>
    </row>
    <row r="93" spans="1:7" ht="11.25" customHeight="1">
      <c r="A93" t="s">
        <v>14</v>
      </c>
      <c r="B93" t="s">
        <v>144</v>
      </c>
      <c r="C93" t="s">
        <v>3245</v>
      </c>
      <c r="D93" t="s">
        <v>3250</v>
      </c>
      <c r="E93" t="s">
        <v>3251</v>
      </c>
      <c r="F93" t="s">
        <v>3064</v>
      </c>
      <c r="G93" t="s">
        <v>3252</v>
      </c>
    </row>
    <row r="94" spans="1:7" ht="11.25" customHeight="1">
      <c r="A94" t="s">
        <v>14</v>
      </c>
      <c r="B94" t="s">
        <v>144</v>
      </c>
      <c r="C94" t="s">
        <v>3245</v>
      </c>
      <c r="D94" t="s">
        <v>3253</v>
      </c>
      <c r="E94" t="s">
        <v>3254</v>
      </c>
      <c r="F94" t="s">
        <v>3064</v>
      </c>
      <c r="G94" t="s">
        <v>3255</v>
      </c>
    </row>
    <row r="95" spans="1:7" ht="11.25" customHeight="1">
      <c r="A95" t="s">
        <v>14</v>
      </c>
      <c r="B95" t="s">
        <v>144</v>
      </c>
      <c r="C95" t="s">
        <v>3245</v>
      </c>
      <c r="D95" t="s">
        <v>3256</v>
      </c>
      <c r="E95" t="s">
        <v>3257</v>
      </c>
      <c r="F95" t="s">
        <v>3064</v>
      </c>
      <c r="G95" t="s">
        <v>3258</v>
      </c>
    </row>
    <row r="96" spans="1:7" ht="11.25" customHeight="1">
      <c r="A96" t="s">
        <v>14</v>
      </c>
      <c r="B96" t="s">
        <v>144</v>
      </c>
      <c r="C96" t="s">
        <v>3245</v>
      </c>
      <c r="D96" t="s">
        <v>3259</v>
      </c>
      <c r="E96" t="s">
        <v>3260</v>
      </c>
      <c r="F96" t="s">
        <v>3064</v>
      </c>
      <c r="G96" t="s">
        <v>3261</v>
      </c>
    </row>
    <row r="97" spans="1:7" ht="11.25" customHeight="1">
      <c r="A97" t="s">
        <v>14</v>
      </c>
      <c r="B97" t="s">
        <v>3262</v>
      </c>
      <c r="C97" t="s">
        <v>3263</v>
      </c>
      <c r="D97" t="s">
        <v>3264</v>
      </c>
      <c r="E97" t="s">
        <v>3265</v>
      </c>
      <c r="F97" t="s">
        <v>3064</v>
      </c>
      <c r="G97" t="s">
        <v>3266</v>
      </c>
    </row>
    <row r="98" spans="1:7" ht="11.25" customHeight="1">
      <c r="A98" t="s">
        <v>14</v>
      </c>
      <c r="B98" t="s">
        <v>3262</v>
      </c>
      <c r="C98" t="s">
        <v>3263</v>
      </c>
      <c r="D98" t="s">
        <v>3267</v>
      </c>
      <c r="E98" t="s">
        <v>3268</v>
      </c>
      <c r="F98" t="s">
        <v>3064</v>
      </c>
      <c r="G98" t="s">
        <v>3269</v>
      </c>
    </row>
    <row r="99" spans="1:7" ht="11.25" customHeight="1">
      <c r="A99" t="s">
        <v>14</v>
      </c>
      <c r="B99" t="s">
        <v>3262</v>
      </c>
      <c r="C99" t="s">
        <v>3263</v>
      </c>
      <c r="D99" t="s">
        <v>3270</v>
      </c>
      <c r="E99" t="s">
        <v>3271</v>
      </c>
      <c r="F99" t="s">
        <v>3064</v>
      </c>
      <c r="G99" t="s">
        <v>3272</v>
      </c>
    </row>
    <row r="100" spans="1:7" ht="11.25" customHeight="1">
      <c r="A100" t="s">
        <v>14</v>
      </c>
      <c r="B100" t="s">
        <v>3262</v>
      </c>
      <c r="C100" t="s">
        <v>3263</v>
      </c>
      <c r="D100" t="s">
        <v>3273</v>
      </c>
      <c r="E100" t="s">
        <v>3274</v>
      </c>
      <c r="F100" t="s">
        <v>3064</v>
      </c>
      <c r="G100" t="s">
        <v>3275</v>
      </c>
    </row>
    <row r="101" spans="1:7" ht="11.25" customHeight="1">
      <c r="A101" t="s">
        <v>14</v>
      </c>
      <c r="B101" t="s">
        <v>3262</v>
      </c>
      <c r="C101" t="s">
        <v>3263</v>
      </c>
      <c r="D101" t="s">
        <v>3262</v>
      </c>
      <c r="E101" t="s">
        <v>3263</v>
      </c>
      <c r="F101" t="s">
        <v>3060</v>
      </c>
      <c r="G101" t="s">
        <v>3276</v>
      </c>
    </row>
    <row r="102" spans="1:7" ht="11.25" customHeight="1">
      <c r="A102" t="s">
        <v>14</v>
      </c>
      <c r="B102" t="s">
        <v>3262</v>
      </c>
      <c r="C102" t="s">
        <v>3263</v>
      </c>
      <c r="D102" t="s">
        <v>3277</v>
      </c>
      <c r="E102" t="s">
        <v>3278</v>
      </c>
      <c r="F102" t="s">
        <v>3061</v>
      </c>
      <c r="G102" t="s">
        <v>3279</v>
      </c>
    </row>
    <row r="103" spans="1:7" ht="11.25" customHeight="1">
      <c r="A103" t="s">
        <v>14</v>
      </c>
      <c r="B103" t="s">
        <v>98</v>
      </c>
      <c r="C103" t="s">
        <v>3280</v>
      </c>
      <c r="D103" t="s">
        <v>3281</v>
      </c>
      <c r="E103" t="s">
        <v>3282</v>
      </c>
      <c r="F103" t="s">
        <v>3064</v>
      </c>
      <c r="G103" t="s">
        <v>3283</v>
      </c>
    </row>
    <row r="104" spans="1:7" ht="11.25" customHeight="1">
      <c r="A104" t="s">
        <v>14</v>
      </c>
      <c r="B104" t="s">
        <v>98</v>
      </c>
      <c r="C104" t="s">
        <v>3280</v>
      </c>
      <c r="D104" t="s">
        <v>104</v>
      </c>
      <c r="E104" t="s">
        <v>105</v>
      </c>
      <c r="F104" t="s">
        <v>3061</v>
      </c>
      <c r="G104" t="s">
        <v>103</v>
      </c>
    </row>
    <row r="105" spans="1:7" ht="11.25" customHeight="1">
      <c r="A105" t="s">
        <v>14</v>
      </c>
      <c r="B105" t="s">
        <v>98</v>
      </c>
      <c r="C105" t="s">
        <v>3280</v>
      </c>
      <c r="D105" t="s">
        <v>3284</v>
      </c>
      <c r="E105" t="s">
        <v>3285</v>
      </c>
      <c r="F105" t="s">
        <v>3064</v>
      </c>
      <c r="G105" t="s">
        <v>3286</v>
      </c>
    </row>
    <row r="106" spans="1:7" ht="11.25" customHeight="1">
      <c r="A106" t="s">
        <v>14</v>
      </c>
      <c r="B106" t="s">
        <v>98</v>
      </c>
      <c r="C106" t="s">
        <v>3280</v>
      </c>
      <c r="D106" t="s">
        <v>98</v>
      </c>
      <c r="E106" t="s">
        <v>3280</v>
      </c>
      <c r="F106" t="s">
        <v>3060</v>
      </c>
      <c r="G106" t="s">
        <v>3287</v>
      </c>
    </row>
    <row r="107" spans="1:7" ht="11.25" customHeight="1">
      <c r="A107" t="s">
        <v>14</v>
      </c>
      <c r="B107" t="s">
        <v>98</v>
      </c>
      <c r="C107" t="s">
        <v>3280</v>
      </c>
      <c r="D107" t="s">
        <v>3288</v>
      </c>
      <c r="E107" t="s">
        <v>3289</v>
      </c>
      <c r="F107" t="s">
        <v>3072</v>
      </c>
      <c r="G107" t="s">
        <v>3290</v>
      </c>
    </row>
    <row r="108" spans="1:7" ht="11.25" customHeight="1">
      <c r="A108" t="s">
        <v>14</v>
      </c>
      <c r="B108" t="s">
        <v>98</v>
      </c>
      <c r="C108" t="s">
        <v>3280</v>
      </c>
      <c r="D108" t="s">
        <v>99</v>
      </c>
      <c r="E108" t="s">
        <v>100</v>
      </c>
      <c r="F108" t="s">
        <v>3061</v>
      </c>
      <c r="G108" t="s">
        <v>97</v>
      </c>
    </row>
    <row r="109" spans="1:7" ht="11.25" customHeight="1">
      <c r="A109" t="s">
        <v>14</v>
      </c>
      <c r="B109" t="s">
        <v>98</v>
      </c>
      <c r="C109" t="s">
        <v>3280</v>
      </c>
      <c r="D109" t="s">
        <v>3291</v>
      </c>
      <c r="E109" t="s">
        <v>3292</v>
      </c>
      <c r="F109" t="s">
        <v>3064</v>
      </c>
      <c r="G109" t="s">
        <v>3293</v>
      </c>
    </row>
    <row r="110" spans="1:7" ht="11.25" customHeight="1">
      <c r="A110" t="s">
        <v>14</v>
      </c>
      <c r="B110" t="s">
        <v>3294</v>
      </c>
      <c r="C110" t="s">
        <v>3295</v>
      </c>
      <c r="D110" t="s">
        <v>3296</v>
      </c>
      <c r="E110" t="s">
        <v>3297</v>
      </c>
      <c r="F110" t="s">
        <v>3064</v>
      </c>
      <c r="G110" t="s">
        <v>3298</v>
      </c>
    </row>
    <row r="111" spans="1:7" ht="11.25" customHeight="1">
      <c r="A111" t="s">
        <v>14</v>
      </c>
      <c r="B111" t="s">
        <v>3294</v>
      </c>
      <c r="C111" t="s">
        <v>3295</v>
      </c>
      <c r="D111" t="s">
        <v>3299</v>
      </c>
      <c r="E111" t="s">
        <v>3300</v>
      </c>
      <c r="F111" t="s">
        <v>3064</v>
      </c>
      <c r="G111" t="s">
        <v>3301</v>
      </c>
    </row>
    <row r="112" spans="1:7" ht="11.25" customHeight="1">
      <c r="A112" t="s">
        <v>14</v>
      </c>
      <c r="B112" t="s">
        <v>3294</v>
      </c>
      <c r="C112" t="s">
        <v>3295</v>
      </c>
      <c r="D112" t="s">
        <v>3302</v>
      </c>
      <c r="E112" t="s">
        <v>3303</v>
      </c>
      <c r="F112" t="s">
        <v>3064</v>
      </c>
      <c r="G112" t="s">
        <v>3304</v>
      </c>
    </row>
    <row r="113" spans="1:7" ht="11.25" customHeight="1">
      <c r="A113" t="s">
        <v>14</v>
      </c>
      <c r="B113" t="s">
        <v>3294</v>
      </c>
      <c r="C113" t="s">
        <v>3295</v>
      </c>
      <c r="D113" t="s">
        <v>3294</v>
      </c>
      <c r="E113" t="s">
        <v>3295</v>
      </c>
      <c r="F113" t="s">
        <v>3060</v>
      </c>
      <c r="G113" t="s">
        <v>3305</v>
      </c>
    </row>
    <row r="114" spans="1:7" ht="11.25" customHeight="1">
      <c r="A114" t="s">
        <v>14</v>
      </c>
      <c r="B114" t="s">
        <v>3294</v>
      </c>
      <c r="C114" t="s">
        <v>3295</v>
      </c>
      <c r="D114" t="s">
        <v>3306</v>
      </c>
      <c r="E114" t="s">
        <v>3307</v>
      </c>
      <c r="F114" t="s">
        <v>3061</v>
      </c>
      <c r="G114" t="s">
        <v>3308</v>
      </c>
    </row>
    <row r="115" spans="1:7" ht="11.25" customHeight="1">
      <c r="A115" t="s">
        <v>14</v>
      </c>
      <c r="B115" t="s">
        <v>3294</v>
      </c>
      <c r="C115" t="s">
        <v>3295</v>
      </c>
      <c r="D115" t="s">
        <v>3309</v>
      </c>
      <c r="E115" t="s">
        <v>3310</v>
      </c>
      <c r="F115" t="s">
        <v>3064</v>
      </c>
      <c r="G115" t="s">
        <v>3311</v>
      </c>
    </row>
    <row r="116" spans="1:7" ht="11.25" customHeight="1">
      <c r="A116" t="s">
        <v>14</v>
      </c>
      <c r="B116" t="s">
        <v>3312</v>
      </c>
      <c r="C116" t="s">
        <v>3313</v>
      </c>
      <c r="D116" t="s">
        <v>3314</v>
      </c>
      <c r="E116" t="s">
        <v>3315</v>
      </c>
      <c r="F116" t="s">
        <v>3064</v>
      </c>
      <c r="G116" t="s">
        <v>3316</v>
      </c>
    </row>
    <row r="117" spans="1:7" ht="11.25" customHeight="1">
      <c r="A117" t="s">
        <v>14</v>
      </c>
      <c r="B117" t="s">
        <v>3312</v>
      </c>
      <c r="C117" t="s">
        <v>3313</v>
      </c>
      <c r="D117" t="s">
        <v>3317</v>
      </c>
      <c r="E117" t="s">
        <v>3318</v>
      </c>
      <c r="F117" t="s">
        <v>3064</v>
      </c>
      <c r="G117" t="s">
        <v>3319</v>
      </c>
    </row>
    <row r="118" spans="1:7" ht="11.25" customHeight="1">
      <c r="A118" t="s">
        <v>14</v>
      </c>
      <c r="B118" t="s">
        <v>3312</v>
      </c>
      <c r="C118" t="s">
        <v>3313</v>
      </c>
      <c r="D118" t="s">
        <v>3320</v>
      </c>
      <c r="E118" t="s">
        <v>3321</v>
      </c>
      <c r="F118" t="s">
        <v>3064</v>
      </c>
      <c r="G118" t="s">
        <v>3322</v>
      </c>
    </row>
    <row r="119" spans="1:7" ht="11.25" customHeight="1">
      <c r="A119" t="s">
        <v>14</v>
      </c>
      <c r="B119" t="s">
        <v>3312</v>
      </c>
      <c r="C119" t="s">
        <v>3313</v>
      </c>
      <c r="D119" t="s">
        <v>3323</v>
      </c>
      <c r="E119" t="s">
        <v>3324</v>
      </c>
      <c r="F119" t="s">
        <v>3064</v>
      </c>
      <c r="G119" t="s">
        <v>3325</v>
      </c>
    </row>
    <row r="120" spans="1:7" ht="11.25" customHeight="1">
      <c r="A120" t="s">
        <v>14</v>
      </c>
      <c r="B120" t="s">
        <v>3312</v>
      </c>
      <c r="C120" t="s">
        <v>3313</v>
      </c>
      <c r="D120" t="s">
        <v>3326</v>
      </c>
      <c r="E120" t="s">
        <v>3327</v>
      </c>
      <c r="F120" t="s">
        <v>3064</v>
      </c>
      <c r="G120" t="s">
        <v>3328</v>
      </c>
    </row>
    <row r="121" spans="1:7" ht="11.25" customHeight="1">
      <c r="A121" t="s">
        <v>14</v>
      </c>
      <c r="B121" t="s">
        <v>3312</v>
      </c>
      <c r="C121" t="s">
        <v>3313</v>
      </c>
      <c r="D121" t="s">
        <v>3312</v>
      </c>
      <c r="E121" t="s">
        <v>3313</v>
      </c>
      <c r="F121" t="s">
        <v>3060</v>
      </c>
      <c r="G121" t="s">
        <v>3329</v>
      </c>
    </row>
    <row r="122" spans="1:7" ht="11.25" customHeight="1">
      <c r="A122" t="s">
        <v>14</v>
      </c>
      <c r="B122" t="s">
        <v>3312</v>
      </c>
      <c r="C122" t="s">
        <v>3313</v>
      </c>
      <c r="D122" t="s">
        <v>3330</v>
      </c>
      <c r="E122" t="s">
        <v>3331</v>
      </c>
      <c r="F122" t="s">
        <v>3061</v>
      </c>
      <c r="G122" t="s">
        <v>3332</v>
      </c>
    </row>
    <row r="123" spans="1:7" ht="11.25" customHeight="1">
      <c r="A123" t="s">
        <v>14</v>
      </c>
      <c r="B123" t="s">
        <v>3312</v>
      </c>
      <c r="C123" t="s">
        <v>3313</v>
      </c>
      <c r="D123" t="s">
        <v>3333</v>
      </c>
      <c r="E123" t="s">
        <v>3334</v>
      </c>
      <c r="F123" t="s">
        <v>3064</v>
      </c>
      <c r="G123" t="s">
        <v>3335</v>
      </c>
    </row>
    <row r="124" spans="1:7" ht="11.25" customHeight="1">
      <c r="A124" t="s">
        <v>14</v>
      </c>
      <c r="B124" t="s">
        <v>3336</v>
      </c>
      <c r="C124" t="s">
        <v>3337</v>
      </c>
      <c r="D124" t="s">
        <v>3338</v>
      </c>
      <c r="E124" t="s">
        <v>3339</v>
      </c>
      <c r="F124" t="s">
        <v>3064</v>
      </c>
      <c r="G124" t="s">
        <v>3340</v>
      </c>
    </row>
    <row r="125" spans="1:7" ht="11.25" customHeight="1">
      <c r="A125" t="s">
        <v>14</v>
      </c>
      <c r="B125" t="s">
        <v>3336</v>
      </c>
      <c r="C125" t="s">
        <v>3337</v>
      </c>
      <c r="D125" t="s">
        <v>3341</v>
      </c>
      <c r="E125" t="s">
        <v>3342</v>
      </c>
      <c r="F125" t="s">
        <v>3064</v>
      </c>
      <c r="G125" t="s">
        <v>3343</v>
      </c>
    </row>
    <row r="126" spans="1:7" ht="11.25" customHeight="1">
      <c r="A126" t="s">
        <v>14</v>
      </c>
      <c r="B126" t="s">
        <v>3336</v>
      </c>
      <c r="C126" t="s">
        <v>3337</v>
      </c>
      <c r="D126" t="s">
        <v>3344</v>
      </c>
      <c r="E126" t="s">
        <v>3345</v>
      </c>
      <c r="F126" t="s">
        <v>3064</v>
      </c>
      <c r="G126" t="s">
        <v>3346</v>
      </c>
    </row>
    <row r="127" spans="1:7" ht="11.25" customHeight="1">
      <c r="A127" t="s">
        <v>14</v>
      </c>
      <c r="B127" t="s">
        <v>3336</v>
      </c>
      <c r="C127" t="s">
        <v>3337</v>
      </c>
      <c r="D127" t="s">
        <v>3347</v>
      </c>
      <c r="E127" t="s">
        <v>3348</v>
      </c>
      <c r="F127" t="s">
        <v>3064</v>
      </c>
      <c r="G127" t="s">
        <v>3349</v>
      </c>
    </row>
    <row r="128" spans="1:7" ht="11.25" customHeight="1">
      <c r="A128" t="s">
        <v>14</v>
      </c>
      <c r="B128" t="s">
        <v>3336</v>
      </c>
      <c r="C128" t="s">
        <v>3337</v>
      </c>
      <c r="D128" t="s">
        <v>3336</v>
      </c>
      <c r="E128" t="s">
        <v>3337</v>
      </c>
      <c r="F128" t="s">
        <v>3060</v>
      </c>
      <c r="G128" t="s">
        <v>3350</v>
      </c>
    </row>
    <row r="129" spans="1:7" ht="11.25" customHeight="1">
      <c r="A129" t="s">
        <v>14</v>
      </c>
      <c r="B129" t="s">
        <v>3336</v>
      </c>
      <c r="C129" t="s">
        <v>3337</v>
      </c>
      <c r="D129" t="s">
        <v>3351</v>
      </c>
      <c r="E129" t="s">
        <v>3352</v>
      </c>
      <c r="F129" t="s">
        <v>3061</v>
      </c>
      <c r="G129" t="s">
        <v>3353</v>
      </c>
    </row>
    <row r="130" spans="1:7" ht="11.25" customHeight="1">
      <c r="A130" t="s">
        <v>14</v>
      </c>
      <c r="B130" t="s">
        <v>3336</v>
      </c>
      <c r="C130" t="s">
        <v>3337</v>
      </c>
      <c r="D130" t="s">
        <v>3354</v>
      </c>
      <c r="E130" t="s">
        <v>3355</v>
      </c>
      <c r="F130" t="s">
        <v>3064</v>
      </c>
      <c r="G130" t="s">
        <v>3356</v>
      </c>
    </row>
    <row r="131" spans="1:7" ht="11.25" customHeight="1">
      <c r="A131" t="s">
        <v>14</v>
      </c>
      <c r="B131" t="s">
        <v>3336</v>
      </c>
      <c r="C131" t="s">
        <v>3337</v>
      </c>
      <c r="D131" t="s">
        <v>3357</v>
      </c>
      <c r="E131" t="s">
        <v>3358</v>
      </c>
      <c r="F131" t="s">
        <v>3064</v>
      </c>
      <c r="G131" t="s">
        <v>3359</v>
      </c>
    </row>
    <row r="132" spans="1:7" ht="11.25" customHeight="1">
      <c r="A132" t="s">
        <v>14</v>
      </c>
      <c r="B132" t="s">
        <v>120</v>
      </c>
      <c r="C132" t="s">
        <v>3360</v>
      </c>
      <c r="D132" t="s">
        <v>3361</v>
      </c>
      <c r="E132" t="s">
        <v>3362</v>
      </c>
      <c r="F132" t="s">
        <v>3064</v>
      </c>
      <c r="G132" t="s">
        <v>3363</v>
      </c>
    </row>
    <row r="133" spans="1:7" ht="11.25" customHeight="1">
      <c r="A133" t="s">
        <v>14</v>
      </c>
      <c r="B133" t="s">
        <v>120</v>
      </c>
      <c r="C133" t="s">
        <v>3360</v>
      </c>
      <c r="D133" t="s">
        <v>3364</v>
      </c>
      <c r="E133" t="s">
        <v>3365</v>
      </c>
      <c r="F133" t="s">
        <v>3064</v>
      </c>
      <c r="G133" t="s">
        <v>3366</v>
      </c>
    </row>
    <row r="134" spans="1:7" ht="11.25" customHeight="1">
      <c r="A134" t="s">
        <v>14</v>
      </c>
      <c r="B134" t="s">
        <v>120</v>
      </c>
      <c r="C134" t="s">
        <v>3360</v>
      </c>
      <c r="D134" t="s">
        <v>3367</v>
      </c>
      <c r="E134" t="s">
        <v>3368</v>
      </c>
      <c r="F134" t="s">
        <v>3064</v>
      </c>
      <c r="G134" t="s">
        <v>3369</v>
      </c>
    </row>
    <row r="135" spans="1:7" ht="11.25" customHeight="1">
      <c r="A135" t="s">
        <v>14</v>
      </c>
      <c r="B135" t="s">
        <v>120</v>
      </c>
      <c r="C135" t="s">
        <v>3360</v>
      </c>
      <c r="D135" t="s">
        <v>3370</v>
      </c>
      <c r="E135" t="s">
        <v>3371</v>
      </c>
      <c r="F135" t="s">
        <v>3064</v>
      </c>
      <c r="G135" t="s">
        <v>3372</v>
      </c>
    </row>
    <row r="136" spans="1:7" ht="11.25" customHeight="1">
      <c r="A136" t="s">
        <v>14</v>
      </c>
      <c r="B136" t="s">
        <v>120</v>
      </c>
      <c r="C136" t="s">
        <v>3360</v>
      </c>
      <c r="D136" t="s">
        <v>120</v>
      </c>
      <c r="E136" t="s">
        <v>3360</v>
      </c>
      <c r="F136" t="s">
        <v>3060</v>
      </c>
      <c r="G136" t="s">
        <v>3373</v>
      </c>
    </row>
    <row r="137" spans="1:7" ht="11.25" customHeight="1">
      <c r="A137" t="s">
        <v>14</v>
      </c>
      <c r="B137" t="s">
        <v>120</v>
      </c>
      <c r="C137" t="s">
        <v>3360</v>
      </c>
      <c r="D137" t="s">
        <v>121</v>
      </c>
      <c r="E137" t="s">
        <v>122</v>
      </c>
      <c r="F137" t="s">
        <v>3061</v>
      </c>
      <c r="G137" t="s">
        <v>119</v>
      </c>
    </row>
    <row r="138" spans="1:7" ht="11.25" customHeight="1">
      <c r="A138" t="s">
        <v>14</v>
      </c>
      <c r="B138" t="s">
        <v>120</v>
      </c>
      <c r="C138" t="s">
        <v>3360</v>
      </c>
      <c r="D138" t="s">
        <v>3374</v>
      </c>
      <c r="E138" t="s">
        <v>3375</v>
      </c>
      <c r="F138" t="s">
        <v>3064</v>
      </c>
      <c r="G138" t="s">
        <v>3376</v>
      </c>
    </row>
    <row r="139" spans="1:7" ht="11.25" customHeight="1">
      <c r="A139" t="s">
        <v>14</v>
      </c>
      <c r="B139" t="s">
        <v>109</v>
      </c>
      <c r="C139" t="s">
        <v>3377</v>
      </c>
      <c r="D139" t="s">
        <v>116</v>
      </c>
      <c r="E139" t="s">
        <v>117</v>
      </c>
      <c r="F139" t="s">
        <v>3064</v>
      </c>
      <c r="G139" t="s">
        <v>115</v>
      </c>
    </row>
    <row r="140" spans="1:7" ht="11.25" customHeight="1">
      <c r="A140" t="s">
        <v>14</v>
      </c>
      <c r="B140" t="s">
        <v>109</v>
      </c>
      <c r="C140" t="s">
        <v>3377</v>
      </c>
      <c r="D140" t="s">
        <v>113</v>
      </c>
      <c r="E140" t="s">
        <v>114</v>
      </c>
      <c r="F140" t="s">
        <v>3064</v>
      </c>
      <c r="G140" t="s">
        <v>112</v>
      </c>
    </row>
    <row r="141" spans="1:7" ht="11.25" customHeight="1">
      <c r="A141" t="s">
        <v>14</v>
      </c>
      <c r="B141" t="s">
        <v>109</v>
      </c>
      <c r="C141" t="s">
        <v>3377</v>
      </c>
      <c r="D141" t="s">
        <v>110</v>
      </c>
      <c r="E141" t="s">
        <v>111</v>
      </c>
      <c r="F141" t="s">
        <v>3061</v>
      </c>
      <c r="G141" t="s">
        <v>108</v>
      </c>
    </row>
    <row r="142" spans="1:7" ht="11.25" customHeight="1">
      <c r="A142" t="s">
        <v>14</v>
      </c>
      <c r="B142" t="s">
        <v>109</v>
      </c>
      <c r="C142" t="s">
        <v>3377</v>
      </c>
      <c r="D142" t="s">
        <v>3378</v>
      </c>
      <c r="E142" t="s">
        <v>3379</v>
      </c>
      <c r="F142" t="s">
        <v>3064</v>
      </c>
      <c r="G142" t="s">
        <v>3380</v>
      </c>
    </row>
    <row r="143" spans="1:7" ht="11.25" customHeight="1">
      <c r="A143" t="s">
        <v>14</v>
      </c>
      <c r="B143" t="s">
        <v>109</v>
      </c>
      <c r="C143" t="s">
        <v>3377</v>
      </c>
      <c r="D143" t="s">
        <v>3381</v>
      </c>
      <c r="E143" t="s">
        <v>3382</v>
      </c>
      <c r="F143" t="s">
        <v>3064</v>
      </c>
      <c r="G143" t="s">
        <v>3383</v>
      </c>
    </row>
    <row r="144" spans="1:7" ht="11.25" customHeight="1">
      <c r="A144" t="s">
        <v>14</v>
      </c>
      <c r="B144" t="s">
        <v>109</v>
      </c>
      <c r="C144" t="s">
        <v>3377</v>
      </c>
      <c r="D144" t="s">
        <v>109</v>
      </c>
      <c r="E144" t="s">
        <v>3377</v>
      </c>
      <c r="F144" t="s">
        <v>3060</v>
      </c>
      <c r="G144" t="s">
        <v>3384</v>
      </c>
    </row>
    <row r="145" spans="1:7" ht="11.25" customHeight="1">
      <c r="A145" t="s">
        <v>14</v>
      </c>
      <c r="B145" t="s">
        <v>109</v>
      </c>
      <c r="C145" t="s">
        <v>3377</v>
      </c>
      <c r="D145" t="s">
        <v>3385</v>
      </c>
      <c r="E145" t="s">
        <v>3386</v>
      </c>
      <c r="F145" t="s">
        <v>3064</v>
      </c>
      <c r="G145" t="s">
        <v>3387</v>
      </c>
    </row>
    <row r="146" spans="1:7" ht="11.25" customHeight="1">
      <c r="A146" t="s">
        <v>14</v>
      </c>
      <c r="B146" t="s">
        <v>3388</v>
      </c>
      <c r="C146" t="s">
        <v>3389</v>
      </c>
      <c r="D146" t="s">
        <v>3390</v>
      </c>
      <c r="E146" t="s">
        <v>3391</v>
      </c>
      <c r="F146" t="s">
        <v>3064</v>
      </c>
      <c r="G146" t="s">
        <v>3392</v>
      </c>
    </row>
    <row r="147" spans="1:7" ht="11.25" customHeight="1">
      <c r="A147" t="s">
        <v>14</v>
      </c>
      <c r="B147" t="s">
        <v>3388</v>
      </c>
      <c r="C147" t="s">
        <v>3389</v>
      </c>
      <c r="D147" t="s">
        <v>3146</v>
      </c>
      <c r="E147" t="s">
        <v>3393</v>
      </c>
      <c r="F147" t="s">
        <v>3064</v>
      </c>
      <c r="G147" t="s">
        <v>3394</v>
      </c>
    </row>
    <row r="148" spans="1:7" ht="11.25" customHeight="1">
      <c r="A148" t="s">
        <v>14</v>
      </c>
      <c r="B148" t="s">
        <v>3388</v>
      </c>
      <c r="C148" t="s">
        <v>3389</v>
      </c>
      <c r="D148" t="s">
        <v>3395</v>
      </c>
      <c r="E148" t="s">
        <v>3396</v>
      </c>
      <c r="F148" t="s">
        <v>3064</v>
      </c>
      <c r="G148" t="s">
        <v>3397</v>
      </c>
    </row>
    <row r="149" spans="1:7" ht="11.25" customHeight="1">
      <c r="A149" t="s">
        <v>14</v>
      </c>
      <c r="B149" t="s">
        <v>3388</v>
      </c>
      <c r="C149" t="s">
        <v>3389</v>
      </c>
      <c r="D149" t="s">
        <v>3398</v>
      </c>
      <c r="E149" t="s">
        <v>3399</v>
      </c>
      <c r="F149" t="s">
        <v>3064</v>
      </c>
      <c r="G149" t="s">
        <v>3400</v>
      </c>
    </row>
    <row r="150" spans="1:7" ht="11.25" customHeight="1">
      <c r="A150" t="s">
        <v>14</v>
      </c>
      <c r="B150" t="s">
        <v>3388</v>
      </c>
      <c r="C150" t="s">
        <v>3389</v>
      </c>
      <c r="D150" t="s">
        <v>3401</v>
      </c>
      <c r="E150" t="s">
        <v>3402</v>
      </c>
      <c r="F150" t="s">
        <v>3064</v>
      </c>
      <c r="G150" t="s">
        <v>3403</v>
      </c>
    </row>
    <row r="151" spans="1:7" ht="11.25" customHeight="1">
      <c r="A151" t="s">
        <v>14</v>
      </c>
      <c r="B151" t="s">
        <v>3388</v>
      </c>
      <c r="C151" t="s">
        <v>3389</v>
      </c>
      <c r="D151" t="s">
        <v>3404</v>
      </c>
      <c r="E151" t="s">
        <v>3405</v>
      </c>
      <c r="F151" t="s">
        <v>3064</v>
      </c>
      <c r="G151" t="s">
        <v>3406</v>
      </c>
    </row>
    <row r="152" spans="1:7" ht="11.25" customHeight="1">
      <c r="A152" t="s">
        <v>14</v>
      </c>
      <c r="B152" t="s">
        <v>3388</v>
      </c>
      <c r="C152" t="s">
        <v>3389</v>
      </c>
      <c r="D152" t="s">
        <v>3407</v>
      </c>
      <c r="E152" t="s">
        <v>3408</v>
      </c>
      <c r="F152" t="s">
        <v>3064</v>
      </c>
      <c r="G152" t="s">
        <v>3409</v>
      </c>
    </row>
    <row r="153" spans="1:7" ht="11.25" customHeight="1">
      <c r="A153" t="s">
        <v>14</v>
      </c>
      <c r="B153" t="s">
        <v>3388</v>
      </c>
      <c r="C153" t="s">
        <v>3389</v>
      </c>
      <c r="D153" t="s">
        <v>3388</v>
      </c>
      <c r="E153" t="s">
        <v>3389</v>
      </c>
      <c r="F153" t="s">
        <v>3060</v>
      </c>
      <c r="G153" t="s">
        <v>3410</v>
      </c>
    </row>
    <row r="154" spans="1:7" ht="11.25" customHeight="1">
      <c r="A154" t="s">
        <v>14</v>
      </c>
      <c r="B154" t="s">
        <v>3388</v>
      </c>
      <c r="C154" t="s">
        <v>3389</v>
      </c>
      <c r="D154" t="s">
        <v>3411</v>
      </c>
      <c r="E154" t="s">
        <v>3412</v>
      </c>
      <c r="F154" t="s">
        <v>3061</v>
      </c>
      <c r="G154" t="s">
        <v>3413</v>
      </c>
    </row>
    <row r="155" spans="1:7" ht="11.25" customHeight="1">
      <c r="A155" t="s">
        <v>14</v>
      </c>
      <c r="B155" t="s">
        <v>3414</v>
      </c>
      <c r="C155" t="s">
        <v>3415</v>
      </c>
      <c r="D155" t="s">
        <v>3416</v>
      </c>
      <c r="E155" t="s">
        <v>3417</v>
      </c>
      <c r="F155" t="s">
        <v>3064</v>
      </c>
      <c r="G155" t="s">
        <v>3418</v>
      </c>
    </row>
    <row r="156" spans="1:7" ht="11.25" customHeight="1">
      <c r="A156" t="s">
        <v>14</v>
      </c>
      <c r="B156" t="s">
        <v>3414</v>
      </c>
      <c r="C156" t="s">
        <v>3415</v>
      </c>
      <c r="D156" t="s">
        <v>3419</v>
      </c>
      <c r="E156" t="s">
        <v>3420</v>
      </c>
      <c r="F156" t="s">
        <v>3064</v>
      </c>
      <c r="G156" t="s">
        <v>3421</v>
      </c>
    </row>
    <row r="157" spans="1:7" ht="11.25" customHeight="1">
      <c r="A157" t="s">
        <v>14</v>
      </c>
      <c r="B157" t="s">
        <v>3414</v>
      </c>
      <c r="C157" t="s">
        <v>3415</v>
      </c>
      <c r="D157" t="s">
        <v>3422</v>
      </c>
      <c r="E157" t="s">
        <v>3423</v>
      </c>
      <c r="F157" t="s">
        <v>3064</v>
      </c>
      <c r="G157" t="s">
        <v>3424</v>
      </c>
    </row>
    <row r="158" spans="1:7" ht="11.25" customHeight="1">
      <c r="A158" t="s">
        <v>14</v>
      </c>
      <c r="B158" t="s">
        <v>3414</v>
      </c>
      <c r="C158" t="s">
        <v>3415</v>
      </c>
      <c r="D158" t="s">
        <v>3425</v>
      </c>
      <c r="E158" t="s">
        <v>3426</v>
      </c>
      <c r="F158" t="s">
        <v>3064</v>
      </c>
      <c r="G158" t="s">
        <v>3427</v>
      </c>
    </row>
    <row r="159" spans="1:7" ht="11.25" customHeight="1">
      <c r="A159" t="s">
        <v>14</v>
      </c>
      <c r="B159" t="s">
        <v>3414</v>
      </c>
      <c r="C159" t="s">
        <v>3415</v>
      </c>
      <c r="D159" t="s">
        <v>3428</v>
      </c>
      <c r="E159" t="s">
        <v>3429</v>
      </c>
      <c r="F159" t="s">
        <v>3064</v>
      </c>
      <c r="G159" t="s">
        <v>3430</v>
      </c>
    </row>
    <row r="160" spans="1:7" ht="11.25" customHeight="1">
      <c r="A160" t="s">
        <v>14</v>
      </c>
      <c r="B160" t="s">
        <v>3414</v>
      </c>
      <c r="C160" t="s">
        <v>3415</v>
      </c>
      <c r="D160" t="s">
        <v>3431</v>
      </c>
      <c r="E160" t="s">
        <v>3432</v>
      </c>
      <c r="F160" t="s">
        <v>3064</v>
      </c>
      <c r="G160" t="s">
        <v>3433</v>
      </c>
    </row>
    <row r="161" spans="1:7" ht="11.25" customHeight="1">
      <c r="A161" t="s">
        <v>14</v>
      </c>
      <c r="B161" t="s">
        <v>3414</v>
      </c>
      <c r="C161" t="s">
        <v>3415</v>
      </c>
      <c r="D161" t="s">
        <v>3434</v>
      </c>
      <c r="E161" t="s">
        <v>3435</v>
      </c>
      <c r="F161" t="s">
        <v>3064</v>
      </c>
      <c r="G161" t="s">
        <v>3436</v>
      </c>
    </row>
    <row r="162" spans="1:7" ht="11.25" customHeight="1">
      <c r="A162" t="s">
        <v>14</v>
      </c>
      <c r="B162" t="s">
        <v>3414</v>
      </c>
      <c r="C162" t="s">
        <v>3415</v>
      </c>
      <c r="D162" t="s">
        <v>3437</v>
      </c>
      <c r="E162" t="s">
        <v>3438</v>
      </c>
      <c r="F162" t="s">
        <v>3064</v>
      </c>
      <c r="G162" t="s">
        <v>3439</v>
      </c>
    </row>
    <row r="163" spans="1:7" ht="11.25" customHeight="1">
      <c r="A163" t="s">
        <v>14</v>
      </c>
      <c r="B163" t="s">
        <v>3414</v>
      </c>
      <c r="C163" t="s">
        <v>3415</v>
      </c>
      <c r="D163" t="s">
        <v>3440</v>
      </c>
      <c r="E163" t="s">
        <v>3441</v>
      </c>
      <c r="F163" t="s">
        <v>3064</v>
      </c>
      <c r="G163" t="s">
        <v>3442</v>
      </c>
    </row>
    <row r="164" spans="1:7" ht="11.25" customHeight="1">
      <c r="A164" t="s">
        <v>14</v>
      </c>
      <c r="B164" t="s">
        <v>3414</v>
      </c>
      <c r="C164" t="s">
        <v>3415</v>
      </c>
      <c r="D164" t="s">
        <v>3414</v>
      </c>
      <c r="E164" t="s">
        <v>3415</v>
      </c>
      <c r="F164" t="s">
        <v>3060</v>
      </c>
      <c r="G164" t="s">
        <v>3443</v>
      </c>
    </row>
    <row r="165" spans="1:7" ht="11.25" customHeight="1">
      <c r="A165" t="s">
        <v>14</v>
      </c>
      <c r="B165" t="s">
        <v>3414</v>
      </c>
      <c r="C165" t="s">
        <v>3415</v>
      </c>
      <c r="D165" t="s">
        <v>3444</v>
      </c>
      <c r="E165" t="s">
        <v>3445</v>
      </c>
      <c r="F165" t="s">
        <v>3061</v>
      </c>
      <c r="G165" t="s">
        <v>3446</v>
      </c>
    </row>
    <row r="166" spans="1:7" ht="11.25" customHeight="1">
      <c r="A166" t="s">
        <v>14</v>
      </c>
      <c r="B166" t="s">
        <v>3447</v>
      </c>
      <c r="C166" t="s">
        <v>3448</v>
      </c>
      <c r="D166" t="s">
        <v>3447</v>
      </c>
      <c r="E166" t="s">
        <v>3448</v>
      </c>
      <c r="F166" t="s">
        <v>3449</v>
      </c>
      <c r="G166" t="s">
        <v>3450</v>
      </c>
    </row>
    <row r="167" spans="1:7" ht="11.25" customHeight="1">
      <c r="A167" t="s">
        <v>14</v>
      </c>
      <c r="B167" t="s">
        <v>3451</v>
      </c>
      <c r="C167" t="s">
        <v>3452</v>
      </c>
      <c r="D167" t="s">
        <v>3451</v>
      </c>
      <c r="E167" t="s">
        <v>3452</v>
      </c>
      <c r="F167" t="s">
        <v>3449</v>
      </c>
      <c r="G167" t="s">
        <v>3453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4573"/>
    <col min="2" max="2" width="84.28515625" style="4573" customWidth="1"/>
    <col min="3" max="3" width="9.140625" style="4573"/>
  </cols>
  <sheetData>
    <row r="1" spans="1:3" ht="11.25" customHeight="1">
      <c r="A1" s="753" t="s">
        <v>3489</v>
      </c>
      <c r="B1" s="753" t="s">
        <v>3490</v>
      </c>
      <c r="C1" s="753" t="s">
        <v>1307</v>
      </c>
    </row>
    <row r="2" spans="1:3" ht="11.25" customHeight="1">
      <c r="A2" s="753">
        <v>4189678</v>
      </c>
      <c r="B2" s="753" t="s">
        <v>3491</v>
      </c>
      <c r="C2" s="753" t="s">
        <v>3492</v>
      </c>
    </row>
    <row r="3" spans="1:3" ht="11.25" customHeight="1">
      <c r="A3" s="753">
        <v>4190415</v>
      </c>
      <c r="B3" s="753" t="s">
        <v>3493</v>
      </c>
      <c r="C3" s="753" t="s">
        <v>3492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4577" customWidth="1"/>
    <col min="2" max="5" width="9.140625" style="4577"/>
  </cols>
  <sheetData>
    <row r="1" spans="1:5" ht="15" customHeight="1">
      <c r="A1" s="84" t="s">
        <v>3494</v>
      </c>
      <c r="B1" s="84" t="s">
        <v>3495</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3496</v>
      </c>
      <c r="B1" t="b">
        <v>1</v>
      </c>
    </row>
    <row r="2" spans="1:2" ht="11.25" customHeight="1">
      <c r="A2" t="s">
        <v>3497</v>
      </c>
      <c r="B2" t="b">
        <v>0</v>
      </c>
    </row>
    <row r="3" spans="1:2" ht="11.25" customHeight="1">
      <c r="A3" t="s">
        <v>3498</v>
      </c>
      <c r="B3" t="b">
        <v>0</v>
      </c>
    </row>
    <row r="4" spans="1:2" ht="11.25" customHeight="1">
      <c r="A4" t="s">
        <v>3499</v>
      </c>
      <c r="B4" t="b">
        <v>0</v>
      </c>
    </row>
    <row r="5" spans="1:2" ht="11.25" customHeight="1">
      <c r="A5" t="s">
        <v>3500</v>
      </c>
      <c r="B5" t="b">
        <v>1</v>
      </c>
    </row>
    <row r="6" spans="1:2" ht="11.25" customHeight="1">
      <c r="A6" t="s">
        <v>3501</v>
      </c>
      <c r="B6" t="b">
        <v>0</v>
      </c>
    </row>
    <row r="7" spans="1:2" ht="11.25" customHeight="1">
      <c r="A7" t="s">
        <v>3502</v>
      </c>
      <c r="B7" t="b">
        <v>0</v>
      </c>
    </row>
    <row r="8" spans="1:2" ht="11.25" customHeight="1">
      <c r="A8" t="s">
        <v>3503</v>
      </c>
      <c r="B8" t="b">
        <v>0</v>
      </c>
    </row>
    <row r="9" spans="1:2" ht="11.25" customHeight="1">
      <c r="A9" t="s">
        <v>3504</v>
      </c>
      <c r="B9" t="b">
        <v>1</v>
      </c>
    </row>
    <row r="10" spans="1:2" ht="11.25" customHeight="1">
      <c r="A10" t="s">
        <v>3505</v>
      </c>
      <c r="B10" t="b">
        <v>0</v>
      </c>
    </row>
    <row r="11" spans="1:2" ht="11.25" customHeight="1">
      <c r="A11" t="s">
        <v>3506</v>
      </c>
      <c r="B11" t="b">
        <v>0</v>
      </c>
    </row>
    <row r="12" spans="1:2" ht="11.25" customHeight="1">
      <c r="A12" t="s">
        <v>3507</v>
      </c>
      <c r="B12" t="b">
        <v>0</v>
      </c>
    </row>
    <row r="13" spans="1:2" ht="11.25" customHeight="1">
      <c r="A13" t="s">
        <v>3508</v>
      </c>
      <c r="B13" t="b">
        <v>0</v>
      </c>
    </row>
    <row r="14" spans="1:2" ht="11.25" customHeight="1">
      <c r="A14" t="s">
        <v>3509</v>
      </c>
      <c r="B14" t="b">
        <v>0</v>
      </c>
    </row>
    <row r="15" spans="1:2" ht="11.25" customHeight="1">
      <c r="A15" t="s">
        <v>3510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4578"/>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4570" customWidth="1"/>
    <col min="2" max="2" width="21.140625" style="4570" customWidth="1"/>
  </cols>
  <sheetData>
    <row r="1" spans="1:2" ht="11.25" customHeight="1">
      <c r="A1" s="4" t="s">
        <v>3511</v>
      </c>
      <c r="B1" s="4" t="s">
        <v>3512</v>
      </c>
    </row>
    <row r="2" spans="1:2" ht="11.25" customHeight="1">
      <c r="A2" s="1" t="s">
        <v>3513</v>
      </c>
      <c r="B2" s="1" t="s">
        <v>3514</v>
      </c>
    </row>
    <row r="3" spans="1:2" ht="11.25" customHeight="1">
      <c r="A3" s="1" t="s">
        <v>3515</v>
      </c>
      <c r="B3" s="1" t="s">
        <v>3516</v>
      </c>
    </row>
    <row r="4" spans="1:2" ht="11.25" customHeight="1">
      <c r="A4" s="1" t="s">
        <v>3517</v>
      </c>
      <c r="B4" s="1" t="s">
        <v>3518</v>
      </c>
    </row>
    <row r="5" spans="1:2" ht="11.25" customHeight="1">
      <c r="A5" s="1" t="s">
        <v>3519</v>
      </c>
      <c r="B5" s="1" t="s">
        <v>3520</v>
      </c>
    </row>
    <row r="6" spans="1:2" ht="11.25" customHeight="1">
      <c r="A6" s="1" t="s">
        <v>3521</v>
      </c>
      <c r="B6" s="1" t="s">
        <v>3522</v>
      </c>
    </row>
    <row r="7" spans="1:2" ht="11.25" customHeight="1">
      <c r="A7" s="1" t="s">
        <v>3523</v>
      </c>
      <c r="B7" s="1" t="s">
        <v>3524</v>
      </c>
    </row>
    <row r="8" spans="1:2" ht="11.25" customHeight="1">
      <c r="A8" s="1" t="s">
        <v>3525</v>
      </c>
      <c r="B8" s="1" t="s">
        <v>3526</v>
      </c>
    </row>
    <row r="9" spans="1:2" ht="11.25" customHeight="1">
      <c r="A9" s="1" t="s">
        <v>3527</v>
      </c>
      <c r="B9" s="1" t="s">
        <v>3528</v>
      </c>
    </row>
    <row r="10" spans="1:2" ht="11.25" customHeight="1">
      <c r="A10" s="1" t="s">
        <v>3529</v>
      </c>
      <c r="B10" s="1" t="s">
        <v>3530</v>
      </c>
    </row>
    <row r="11" spans="1:2" ht="11.25" customHeight="1">
      <c r="A11" s="1" t="s">
        <v>3531</v>
      </c>
      <c r="B11" s="1" t="s">
        <v>3532</v>
      </c>
    </row>
    <row r="12" spans="1:2" ht="11.25" customHeight="1">
      <c r="A12" s="1" t="s">
        <v>3533</v>
      </c>
      <c r="B12" s="1" t="s">
        <v>3534</v>
      </c>
    </row>
    <row r="13" spans="1:2" ht="11.25" customHeight="1">
      <c r="A13" s="1" t="s">
        <v>3535</v>
      </c>
      <c r="B13" s="1" t="s">
        <v>3536</v>
      </c>
    </row>
    <row r="14" spans="1:2" ht="11.25" customHeight="1">
      <c r="A14" s="1" t="s">
        <v>3537</v>
      </c>
      <c r="B14" s="1" t="s">
        <v>3538</v>
      </c>
    </row>
    <row r="15" spans="1:2" ht="11.25" customHeight="1">
      <c r="A15" s="1" t="s">
        <v>3539</v>
      </c>
      <c r="B15" s="1" t="s">
        <v>3540</v>
      </c>
    </row>
    <row r="16" spans="1:2" ht="11.25" customHeight="1">
      <c r="A16" s="1" t="s">
        <v>3541</v>
      </c>
      <c r="B16" s="1" t="s">
        <v>3542</v>
      </c>
    </row>
    <row r="17" spans="1:2" ht="11.25" customHeight="1">
      <c r="A17" s="1" t="s">
        <v>3543</v>
      </c>
      <c r="B17" s="1" t="s">
        <v>3544</v>
      </c>
    </row>
    <row r="18" spans="1:2" ht="11.25" customHeight="1">
      <c r="A18" s="1" t="s">
        <v>3545</v>
      </c>
      <c r="B18" s="1" t="s">
        <v>3546</v>
      </c>
    </row>
    <row r="19" spans="1:2" ht="11.25" customHeight="1">
      <c r="A19" s="1" t="s">
        <v>3547</v>
      </c>
      <c r="B19" s="1" t="s">
        <v>3548</v>
      </c>
    </row>
    <row r="20" spans="1:2" ht="11.25" customHeight="1">
      <c r="A20" s="1" t="s">
        <v>3549</v>
      </c>
      <c r="B20" s="1" t="s">
        <v>3550</v>
      </c>
    </row>
    <row r="21" spans="1:2" ht="11.25" customHeight="1">
      <c r="A21" s="1" t="s">
        <v>3551</v>
      </c>
      <c r="B21" s="1" t="s">
        <v>3552</v>
      </c>
    </row>
    <row r="22" spans="1:2" ht="11.25" customHeight="1">
      <c r="A22" s="1" t="s">
        <v>3553</v>
      </c>
      <c r="B22" s="1" t="s">
        <v>3554</v>
      </c>
    </row>
    <row r="23" spans="1:2" ht="11.25" customHeight="1">
      <c r="A23" s="1" t="s">
        <v>3555</v>
      </c>
      <c r="B23" s="1" t="s">
        <v>3556</v>
      </c>
    </row>
    <row r="24" spans="1:2" ht="11.25" customHeight="1">
      <c r="A24" s="1" t="s">
        <v>3557</v>
      </c>
      <c r="B24" s="1" t="s">
        <v>3558</v>
      </c>
    </row>
    <row r="25" spans="1:2" ht="11.25" customHeight="1">
      <c r="A25" s="1" t="s">
        <v>3559</v>
      </c>
      <c r="B25" s="1" t="s">
        <v>3560</v>
      </c>
    </row>
    <row r="26" spans="1:2" ht="11.25" customHeight="1">
      <c r="A26" s="1" t="s">
        <v>3561</v>
      </c>
      <c r="B26" s="1" t="s">
        <v>3562</v>
      </c>
    </row>
    <row r="27" spans="1:2" ht="11.25" customHeight="1">
      <c r="A27" s="1" t="s">
        <v>3563</v>
      </c>
      <c r="B27" s="1" t="s">
        <v>3564</v>
      </c>
    </row>
    <row r="28" spans="1:2" ht="11.25" customHeight="1">
      <c r="A28" s="1" t="s">
        <v>3565</v>
      </c>
      <c r="B28" s="1" t="s">
        <v>3566</v>
      </c>
    </row>
    <row r="29" spans="1:2" ht="11.25" customHeight="1">
      <c r="A29" s="1" t="s">
        <v>3567</v>
      </c>
      <c r="B29" s="1" t="s">
        <v>3568</v>
      </c>
    </row>
    <row r="30" spans="1:2" ht="11.25" customHeight="1">
      <c r="A30" s="1" t="s">
        <v>3569</v>
      </c>
      <c r="B30" s="1" t="s">
        <v>3570</v>
      </c>
    </row>
    <row r="31" spans="1:2" ht="11.25" customHeight="1">
      <c r="A31" s="1" t="s">
        <v>3571</v>
      </c>
      <c r="B31" s="1" t="s">
        <v>3572</v>
      </c>
    </row>
    <row r="32" spans="1:2" ht="11.25" customHeight="1">
      <c r="A32" s="1" t="s">
        <v>3573</v>
      </c>
      <c r="B32" s="1" t="s">
        <v>3574</v>
      </c>
    </row>
    <row r="33" spans="1:2" ht="11.25" customHeight="1">
      <c r="A33" s="1" t="s">
        <v>3575</v>
      </c>
      <c r="B33" s="1" t="s">
        <v>3576</v>
      </c>
    </row>
    <row r="34" spans="1:2" ht="11.25" customHeight="1">
      <c r="A34" s="1" t="s">
        <v>3577</v>
      </c>
      <c r="B34" s="1" t="s">
        <v>3578</v>
      </c>
    </row>
    <row r="35" spans="1:2" ht="11.25" customHeight="1">
      <c r="A35" s="1" t="s">
        <v>3579</v>
      </c>
      <c r="B35" s="1" t="s">
        <v>3580</v>
      </c>
    </row>
    <row r="36" spans="1:2" ht="11.25" customHeight="1">
      <c r="A36" s="1" t="s">
        <v>3581</v>
      </c>
      <c r="B36" s="1" t="s">
        <v>3582</v>
      </c>
    </row>
    <row r="37" spans="1:2" ht="11.25" customHeight="1">
      <c r="A37" s="1" t="s">
        <v>3583</v>
      </c>
      <c r="B37" s="1" t="s">
        <v>3584</v>
      </c>
    </row>
    <row r="38" spans="1:2" ht="11.25" customHeight="1">
      <c r="A38" s="1" t="s">
        <v>3585</v>
      </c>
      <c r="B38" s="1" t="s">
        <v>3586</v>
      </c>
    </row>
    <row r="39" spans="1:2" ht="11.25" customHeight="1">
      <c r="A39" s="1" t="s">
        <v>3587</v>
      </c>
      <c r="B39" s="1" t="s">
        <v>3588</v>
      </c>
    </row>
    <row r="40" spans="1:2" ht="11.25" customHeight="1">
      <c r="A40" s="1" t="s">
        <v>3589</v>
      </c>
      <c r="B40" s="1" t="s">
        <v>3590</v>
      </c>
    </row>
    <row r="41" spans="1:2" ht="11.25" customHeight="1">
      <c r="A41" s="1" t="s">
        <v>3591</v>
      </c>
      <c r="B41" s="1" t="s">
        <v>3592</v>
      </c>
    </row>
    <row r="42" spans="1:2" ht="11.25" customHeight="1">
      <c r="A42" s="1" t="s">
        <v>3593</v>
      </c>
      <c r="B42" s="1" t="s">
        <v>3594</v>
      </c>
    </row>
    <row r="43" spans="1:2" ht="11.25" customHeight="1">
      <c r="A43" s="1" t="s">
        <v>3595</v>
      </c>
      <c r="B43" s="1" t="s">
        <v>3596</v>
      </c>
    </row>
    <row r="44" spans="1:2" ht="11.25" customHeight="1">
      <c r="A44" s="1" t="s">
        <v>3597</v>
      </c>
      <c r="B44" s="1" t="s">
        <v>3598</v>
      </c>
    </row>
    <row r="45" spans="1:2" ht="11.25" customHeight="1">
      <c r="A45" s="1" t="s">
        <v>3599</v>
      </c>
      <c r="B45" s="1" t="s">
        <v>3600</v>
      </c>
    </row>
    <row r="46" spans="1:2" ht="11.25" customHeight="1">
      <c r="A46" s="1" t="s">
        <v>3601</v>
      </c>
      <c r="B46" s="1" t="s">
        <v>3602</v>
      </c>
    </row>
    <row r="47" spans="1:2" ht="11.25" customHeight="1">
      <c r="A47" s="1" t="s">
        <v>3603</v>
      </c>
      <c r="B47" s="1" t="s">
        <v>3604</v>
      </c>
    </row>
    <row r="48" spans="1:2" ht="11.25" customHeight="1">
      <c r="A48" s="1" t="s">
        <v>3605</v>
      </c>
      <c r="B48" s="1" t="s">
        <v>3606</v>
      </c>
    </row>
    <row r="49" spans="1:2" ht="11.25" customHeight="1">
      <c r="A49" s="1" t="s">
        <v>3607</v>
      </c>
      <c r="B49" s="1" t="s">
        <v>3608</v>
      </c>
    </row>
    <row r="50" spans="1:2" ht="11.25" customHeight="1">
      <c r="A50" s="1" t="s">
        <v>3609</v>
      </c>
      <c r="B50" s="1" t="s">
        <v>3610</v>
      </c>
    </row>
    <row r="51" spans="1:2" ht="11.25" customHeight="1">
      <c r="A51" s="1" t="s">
        <v>3611</v>
      </c>
      <c r="B51" s="1" t="s">
        <v>3612</v>
      </c>
    </row>
    <row r="52" spans="1:2" ht="11.25" customHeight="1">
      <c r="A52" s="1" t="s">
        <v>3613</v>
      </c>
      <c r="B52" s="1" t="s">
        <v>3614</v>
      </c>
    </row>
    <row r="53" spans="1:2" ht="11.25" customHeight="1">
      <c r="A53" s="1" t="s">
        <v>3615</v>
      </c>
      <c r="B53" s="1" t="s">
        <v>3616</v>
      </c>
    </row>
    <row r="54" spans="1:2" ht="11.25" customHeight="1">
      <c r="A54" s="1" t="s">
        <v>3617</v>
      </c>
      <c r="B54" s="1" t="s">
        <v>3618</v>
      </c>
    </row>
    <row r="55" spans="1:2" ht="11.25" customHeight="1">
      <c r="A55" s="1" t="s">
        <v>3619</v>
      </c>
      <c r="B55" s="1" t="s">
        <v>3620</v>
      </c>
    </row>
    <row r="56" spans="1:2" ht="11.25" customHeight="1">
      <c r="A56" s="1" t="s">
        <v>3621</v>
      </c>
      <c r="B56" s="1" t="s">
        <v>3622</v>
      </c>
    </row>
    <row r="57" spans="1:2" ht="11.25" customHeight="1">
      <c r="A57" s="1" t="s">
        <v>3623</v>
      </c>
      <c r="B57" s="1" t="s">
        <v>3624</v>
      </c>
    </row>
    <row r="58" spans="1:2" ht="11.25" customHeight="1">
      <c r="A58" s="1" t="s">
        <v>3625</v>
      </c>
      <c r="B58" s="1" t="s">
        <v>3626</v>
      </c>
    </row>
    <row r="59" spans="1:2" ht="11.25" customHeight="1">
      <c r="A59" s="1" t="s">
        <v>3627</v>
      </c>
      <c r="B59" s="1" t="s">
        <v>3628</v>
      </c>
    </row>
    <row r="60" spans="1:2" ht="11.25" customHeight="1">
      <c r="A60" s="1" t="s">
        <v>3629</v>
      </c>
      <c r="B60" s="1" t="s">
        <v>3630</v>
      </c>
    </row>
    <row r="61" spans="1:2" ht="11.25" customHeight="1">
      <c r="A61" s="1"/>
      <c r="B61" s="1" t="s">
        <v>3631</v>
      </c>
    </row>
    <row r="62" spans="1:2" ht="11.25" customHeight="1">
      <c r="A62" s="1"/>
      <c r="B62" s="1" t="s">
        <v>3632</v>
      </c>
    </row>
    <row r="63" spans="1:2" ht="11.25" customHeight="1">
      <c r="A63" s="1"/>
      <c r="B63" s="1" t="s">
        <v>3633</v>
      </c>
    </row>
    <row r="64" spans="1:2" ht="11.25" customHeight="1">
      <c r="A64" s="1"/>
      <c r="B64" s="1" t="s">
        <v>3634</v>
      </c>
    </row>
    <row r="65" spans="1:2" ht="11.25" customHeight="1">
      <c r="A65" s="1"/>
      <c r="B65" s="1" t="s">
        <v>3635</v>
      </c>
    </row>
    <row r="66" spans="1:2" ht="11.25" customHeight="1">
      <c r="A66" s="1"/>
      <c r="B66" s="1" t="s">
        <v>3636</v>
      </c>
    </row>
    <row r="67" spans="1:2" ht="11.25" customHeight="1">
      <c r="A67" s="1"/>
      <c r="B67" s="1" t="s">
        <v>3637</v>
      </c>
    </row>
    <row r="68" spans="1:2" ht="11.25" customHeight="1">
      <c r="A68" s="1"/>
      <c r="B68" s="1" t="s">
        <v>3638</v>
      </c>
    </row>
    <row r="69" spans="1:2" ht="11.25" customHeight="1">
      <c r="A69" s="1"/>
      <c r="B69" s="1" t="s">
        <v>3639</v>
      </c>
    </row>
    <row r="70" spans="1:2" ht="11.25" customHeight="1">
      <c r="A70" s="1"/>
      <c r="B70" s="1" t="s">
        <v>3640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805" customWidth="1"/>
    <col min="2" max="2" width="90.7109375" style="1805" customWidth="1"/>
    <col min="3" max="4" width="9.140625" style="1805"/>
  </cols>
  <sheetData>
    <row r="1" spans="2:4" ht="11.25" customHeight="1">
      <c r="B1" s="26" t="s">
        <v>3641</v>
      </c>
    </row>
    <row r="2" spans="2:4" ht="90" customHeight="1">
      <c r="B2" s="27" t="s">
        <v>3642</v>
      </c>
    </row>
    <row r="3" spans="2:4" ht="67.5" customHeight="1">
      <c r="B3" s="27" t="s">
        <v>3643</v>
      </c>
    </row>
    <row r="4" spans="2:4" ht="33.75" customHeight="1">
      <c r="B4" s="27" t="s">
        <v>3644</v>
      </c>
    </row>
    <row r="5" spans="2:4" ht="11.25" customHeight="1">
      <c r="B5" s="27" t="s">
        <v>3645</v>
      </c>
    </row>
    <row r="6" spans="2:4" ht="22.5" customHeight="1">
      <c r="B6" s="27" t="s">
        <v>3646</v>
      </c>
    </row>
    <row r="7" spans="2:4" ht="22.5" customHeight="1">
      <c r="B7" s="27" t="s">
        <v>3647</v>
      </c>
    </row>
    <row r="8" spans="2:4" ht="22.5" customHeight="1">
      <c r="B8" s="27" t="s">
        <v>3648</v>
      </c>
    </row>
    <row r="9" spans="2:4" ht="22.5" customHeight="1">
      <c r="B9" s="27" t="s">
        <v>3649</v>
      </c>
    </row>
    <row r="10" spans="2:4" ht="56.25" customHeight="1">
      <c r="B10" s="27" t="s">
        <v>3650</v>
      </c>
    </row>
    <row r="11" spans="2:4" ht="12.75" customHeight="1">
      <c r="B11" s="81" t="s">
        <v>3651</v>
      </c>
    </row>
    <row r="12" spans="2:4" ht="11.25" customHeight="1">
      <c r="B12" s="26" t="s">
        <v>3652</v>
      </c>
    </row>
    <row r="13" spans="2:4" ht="22.5" customHeight="1">
      <c r="B13" s="27" t="s">
        <v>3653</v>
      </c>
    </row>
    <row r="14" spans="2:4" ht="67.5" customHeight="1">
      <c r="B14" s="27" t="s">
        <v>3654</v>
      </c>
    </row>
    <row r="15" spans="2:4" ht="22.5" customHeight="1">
      <c r="B15" s="27" t="s">
        <v>3655</v>
      </c>
    </row>
    <row r="16" spans="2:4" ht="11.25" customHeight="1">
      <c r="B16" s="26" t="s">
        <v>3656</v>
      </c>
      <c r="D16" s="33"/>
    </row>
    <row r="17" spans="1:2" ht="33.75" customHeight="1">
      <c r="B17" s="27" t="s">
        <v>3657</v>
      </c>
    </row>
    <row r="18" spans="1:2" ht="33.75" customHeight="1">
      <c r="B18" s="27" t="s">
        <v>3658</v>
      </c>
    </row>
    <row r="19" spans="1:2" ht="11.25" customHeight="1">
      <c r="B19" s="27" t="s">
        <v>3659</v>
      </c>
    </row>
    <row r="20" spans="1:2" ht="33.75" customHeight="1">
      <c r="B20" s="27" t="s">
        <v>3660</v>
      </c>
    </row>
    <row r="21" spans="1:2" ht="11.25" customHeight="1">
      <c r="B21" s="26" t="s">
        <v>3661</v>
      </c>
    </row>
    <row r="22" spans="1:2" ht="11.25" customHeight="1">
      <c r="B22" s="27" t="s">
        <v>3662</v>
      </c>
    </row>
    <row r="24" spans="1:2" ht="22.5" customHeight="1">
      <c r="B24" s="83" t="s">
        <v>3663</v>
      </c>
    </row>
    <row r="26" spans="1:2" ht="11.25" customHeight="1">
      <c r="B26" s="26" t="s">
        <v>3664</v>
      </c>
    </row>
    <row r="27" spans="1:2" ht="22.5" customHeight="1">
      <c r="B27" s="82" t="s">
        <v>537</v>
      </c>
    </row>
    <row r="28" spans="1:2" ht="56.25" customHeight="1">
      <c r="B28" s="82" t="s">
        <v>3665</v>
      </c>
    </row>
    <row r="29" spans="1:2" ht="11.25" customHeight="1">
      <c r="B29" s="131" t="s">
        <v>3666</v>
      </c>
    </row>
    <row r="30" spans="1:2" ht="22.5" customHeight="1">
      <c r="B30" s="82" t="s">
        <v>3667</v>
      </c>
    </row>
    <row r="32" spans="1:2" ht="11.25" customHeight="1">
      <c r="A32" s="109"/>
      <c r="B32" s="110" t="s">
        <v>3668</v>
      </c>
    </row>
    <row r="33" spans="1:2" ht="14.25" customHeight="1">
      <c r="A33" s="111">
        <v>1</v>
      </c>
      <c r="B33" s="112" t="s">
        <v>3669</v>
      </c>
    </row>
    <row r="34" spans="1:2" ht="14.25" customHeight="1">
      <c r="A34" s="111">
        <v>2</v>
      </c>
      <c r="B34" s="112" t="s">
        <v>3670</v>
      </c>
    </row>
    <row r="35" spans="1:2" ht="11.25" customHeight="1">
      <c r="B35" s="110" t="s">
        <v>3671</v>
      </c>
    </row>
    <row r="36" spans="1:2" ht="11.25" customHeight="1">
      <c r="B36" s="112" t="s">
        <v>3672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U17"/>
  <sheetViews>
    <sheetView showGridLines="0" topLeftCell="C5" zoomScale="90" workbookViewId="0"/>
  </sheetViews>
  <sheetFormatPr defaultColWidth="10.5703125" defaultRowHeight="14.25" customHeight="1"/>
  <cols>
    <col min="1" max="1" width="9.140625" style="1945" hidden="1" customWidth="1"/>
    <col min="2" max="2" width="9.140625" style="1944" hidden="1" customWidth="1"/>
    <col min="3" max="3" width="3.7109375" style="1937" customWidth="1"/>
    <col min="4" max="4" width="5.5703125" style="1944" customWidth="1"/>
    <col min="5" max="5" width="38.140625" style="1944" customWidth="1"/>
    <col min="6" max="7" width="3.7109375" style="1944" customWidth="1"/>
    <col min="8" max="8" width="38.28515625" style="1944" customWidth="1"/>
    <col min="9" max="9" width="35.7109375" style="1944" customWidth="1"/>
    <col min="10" max="10" width="103.7109375" style="1944" customWidth="1"/>
    <col min="11" max="11" width="3.7109375" style="1922" customWidth="1"/>
    <col min="12" max="14" width="10.5703125" style="1942"/>
    <col min="15" max="15" width="13.7109375" style="1942" customWidth="1"/>
    <col min="16" max="16" width="15.42578125" style="1942" customWidth="1"/>
    <col min="17" max="17" width="16.28515625" style="1942" customWidth="1"/>
    <col min="18" max="21" width="10.5703125" style="1942"/>
  </cols>
  <sheetData>
    <row r="1" spans="1:21" ht="14.25" hidden="1" customHeight="1">
      <c r="E1" s="347"/>
      <c r="F1" s="347"/>
      <c r="G1" s="347"/>
      <c r="H1" s="4602" t="s">
        <v>493</v>
      </c>
      <c r="I1" s="4602"/>
    </row>
    <row r="2" spans="1:21" s="1940" customFormat="1" ht="14.25" hidden="1" customHeight="1">
      <c r="C2" s="1532"/>
      <c r="D2" s="4739" t="s">
        <v>174</v>
      </c>
      <c r="E2" s="4741"/>
      <c r="F2" s="1538"/>
      <c r="G2" s="1533" t="s">
        <v>174</v>
      </c>
      <c r="H2" s="1536"/>
      <c r="I2" s="1534"/>
      <c r="L2" s="1535"/>
      <c r="M2" s="1535"/>
      <c r="N2" s="1535"/>
      <c r="O2" s="1535" t="s">
        <v>523</v>
      </c>
      <c r="P2" s="1535"/>
      <c r="Q2" s="1535"/>
      <c r="R2" s="1537" t="s">
        <v>522</v>
      </c>
      <c r="S2" s="1537" t="s">
        <v>522</v>
      </c>
      <c r="T2" s="1535"/>
      <c r="U2" s="1535"/>
    </row>
    <row r="3" spans="1:21" s="1940" customFormat="1" ht="14.25" hidden="1" customHeight="1">
      <c r="C3" s="1532"/>
      <c r="D3" s="4740"/>
      <c r="E3" s="4742"/>
      <c r="F3" s="340"/>
      <c r="G3" s="783"/>
      <c r="H3" s="783" t="s">
        <v>524</v>
      </c>
      <c r="I3" s="234"/>
      <c r="L3" s="1535"/>
      <c r="M3" s="1535"/>
      <c r="N3" s="1535"/>
      <c r="O3" s="1535"/>
      <c r="P3" s="1535"/>
      <c r="Q3" s="1535"/>
      <c r="R3" s="1537"/>
      <c r="S3" s="1537"/>
      <c r="T3" s="1535"/>
      <c r="U3" s="1535"/>
    </row>
    <row r="4" spans="1:21" ht="14.25" hidden="1" customHeight="1"/>
    <row r="5" spans="1:21" s="1941" customFormat="1" ht="6" customHeight="1">
      <c r="C5" s="621"/>
      <c r="D5" s="622"/>
      <c r="E5" s="622"/>
      <c r="F5" s="622"/>
      <c r="G5" s="622"/>
      <c r="H5" s="622" t="s">
        <v>497</v>
      </c>
      <c r="I5" s="622"/>
      <c r="J5" s="622"/>
      <c r="L5" s="1528"/>
      <c r="M5" s="1528"/>
      <c r="N5" s="1528"/>
      <c r="O5" s="1528"/>
      <c r="P5" s="1528"/>
      <c r="Q5" s="1528"/>
      <c r="R5" s="1528"/>
      <c r="S5" s="1528"/>
      <c r="T5" s="1528"/>
      <c r="U5" s="1528"/>
    </row>
    <row r="6" spans="1:21" ht="27.75" customHeight="1">
      <c r="C6" s="1427"/>
      <c r="D6" s="4743" t="s">
        <v>525</v>
      </c>
      <c r="E6" s="4743"/>
      <c r="F6" s="4743"/>
      <c r="G6" s="4743"/>
      <c r="H6" s="4743"/>
      <c r="I6" s="4743"/>
      <c r="J6" s="418"/>
      <c r="K6" s="1529"/>
    </row>
    <row r="7" spans="1:21" ht="17.25" customHeight="1">
      <c r="C7" s="1427"/>
      <c r="D7" s="4690" t="str">
        <f>IF(org=0,"Не определено",org)</f>
        <v>ОГКП "Ульяновский областной водоканал"</v>
      </c>
      <c r="E7" s="4690"/>
      <c r="F7" s="4690"/>
      <c r="G7" s="4690"/>
      <c r="H7" s="4690"/>
      <c r="I7" s="4690"/>
      <c r="J7" s="418"/>
      <c r="K7" s="1529"/>
    </row>
    <row r="8" spans="1:21" s="1943" customFormat="1" ht="6" customHeight="1">
      <c r="A8" s="1527"/>
      <c r="C8" s="413"/>
      <c r="D8" s="412"/>
      <c r="E8" s="412"/>
      <c r="F8" s="412"/>
      <c r="G8" s="412"/>
      <c r="H8" s="412"/>
      <c r="I8" s="412"/>
      <c r="J8" s="412"/>
      <c r="L8" s="1528"/>
      <c r="M8" s="1528"/>
      <c r="N8" s="1528"/>
      <c r="O8" s="1528"/>
      <c r="P8" s="1528"/>
      <c r="Q8" s="1528"/>
      <c r="R8" s="1528"/>
      <c r="S8" s="1528"/>
      <c r="T8" s="1528"/>
      <c r="U8" s="1528"/>
    </row>
    <row r="9" spans="1:21" s="1943" customFormat="1" ht="6" customHeight="1">
      <c r="A9" s="1527"/>
      <c r="C9" s="413"/>
      <c r="D9" s="412"/>
      <c r="E9" s="412"/>
      <c r="F9" s="412"/>
      <c r="G9" s="412"/>
      <c r="H9" s="412"/>
      <c r="I9" s="412"/>
      <c r="J9" s="412"/>
      <c r="L9" s="1535"/>
      <c r="M9" s="1535"/>
      <c r="N9" s="1535"/>
      <c r="O9" s="1535"/>
      <c r="P9" s="1535"/>
      <c r="Q9" s="1535"/>
      <c r="R9" s="1535"/>
      <c r="S9" s="1535"/>
      <c r="T9" s="1535"/>
      <c r="U9" s="1535"/>
    </row>
    <row r="10" spans="1:21" ht="14.25" customHeight="1">
      <c r="C10" s="1427"/>
      <c r="D10" s="4727" t="s">
        <v>439</v>
      </c>
      <c r="E10" s="4728"/>
      <c r="F10" s="4728"/>
      <c r="G10" s="4728"/>
      <c r="H10" s="4728"/>
      <c r="I10" s="4728"/>
      <c r="J10" s="4655" t="s">
        <v>440</v>
      </c>
    </row>
    <row r="11" spans="1:21" ht="25.5" customHeight="1">
      <c r="C11" s="1427"/>
      <c r="D11" s="4627" t="s">
        <v>86</v>
      </c>
      <c r="E11" s="4655" t="str">
        <f>IF(TEMPLATE_SPHERE&lt;&gt;"HEAT","Регулируемый вид деятельности","Вид регулируемой деятельности")</f>
        <v>Регулируемый вид деятельности</v>
      </c>
      <c r="F11" s="4704" t="s">
        <v>86</v>
      </c>
      <c r="G11" s="4705"/>
      <c r="H11" s="4689" t="s">
        <v>526</v>
      </c>
      <c r="I11" s="4689" t="s">
        <v>527</v>
      </c>
      <c r="J11" s="4655"/>
    </row>
    <row r="12" spans="1:21" ht="14.25" customHeight="1">
      <c r="C12" s="1427"/>
      <c r="D12" s="4627"/>
      <c r="E12" s="4655"/>
      <c r="F12" s="4709"/>
      <c r="G12" s="4710"/>
      <c r="H12" s="4738"/>
      <c r="I12" s="4738"/>
      <c r="J12" s="4655"/>
    </row>
    <row r="13" spans="1:21" s="1820" customFormat="1" ht="11.25" hidden="1" customHeight="1">
      <c r="C13" s="425"/>
      <c r="D13" s="426" t="s">
        <v>517</v>
      </c>
      <c r="E13" s="426"/>
      <c r="F13" s="426"/>
      <c r="G13" s="426"/>
      <c r="H13" s="424"/>
      <c r="I13" s="424"/>
      <c r="J13" s="368"/>
      <c r="L13" s="1528"/>
      <c r="M13" s="1528"/>
      <c r="N13" s="1528"/>
      <c r="O13" s="1528"/>
      <c r="P13" s="1528"/>
      <c r="Q13" s="1528"/>
      <c r="R13" s="1528"/>
      <c r="S13" s="1528"/>
      <c r="T13" s="1528"/>
      <c r="U13" s="1528"/>
    </row>
    <row r="14" spans="1:21" ht="14.25" customHeight="1">
      <c r="A14" s="1525"/>
      <c r="C14" s="1427"/>
      <c r="D14" s="4739" t="s">
        <v>174</v>
      </c>
      <c r="E14" s="4741"/>
      <c r="F14" s="1531"/>
      <c r="G14" s="1530" t="s">
        <v>174</v>
      </c>
      <c r="H14" s="1536"/>
      <c r="I14" s="1534"/>
      <c r="J14" s="4667" t="s">
        <v>528</v>
      </c>
      <c r="K14" s="1525"/>
      <c r="R14" s="427" t="s">
        <v>522</v>
      </c>
      <c r="S14" s="427" t="s">
        <v>522</v>
      </c>
    </row>
    <row r="15" spans="1:21" ht="14.25" customHeight="1">
      <c r="A15" s="1525"/>
      <c r="C15" s="1427"/>
      <c r="D15" s="4740"/>
      <c r="E15" s="4742"/>
      <c r="F15" s="340"/>
      <c r="G15" s="783"/>
      <c r="H15" s="783" t="s">
        <v>524</v>
      </c>
      <c r="I15" s="234"/>
      <c r="J15" s="4668"/>
      <c r="K15" s="1525"/>
      <c r="R15" s="427"/>
      <c r="S15" s="427"/>
    </row>
    <row r="16" spans="1:21" ht="14.25" customHeight="1">
      <c r="A16" s="1525"/>
      <c r="C16" s="1427"/>
      <c r="D16" s="340"/>
      <c r="E16" s="783" t="s">
        <v>183</v>
      </c>
      <c r="F16" s="234"/>
      <c r="G16" s="234"/>
      <c r="H16" s="341"/>
      <c r="I16" s="341"/>
      <c r="J16" s="4669"/>
      <c r="K16" s="1525"/>
    </row>
    <row r="17" spans="11:11" ht="14.25" customHeight="1">
      <c r="K17" s="152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1976</vt:i4>
      </vt:variant>
    </vt:vector>
  </HeadingPairs>
  <TitlesOfParts>
    <vt:vector size="206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pt_ntar_27</vt:lpstr>
      <vt:lpstr>pt_ntar_28</vt:lpstr>
      <vt:lpstr>pt_ntar_29</vt:lpstr>
      <vt:lpstr>pt_ntar_3</vt:lpstr>
      <vt:lpstr>pt_ntar_30</vt:lpstr>
      <vt:lpstr>pt_ntar_31</vt:lpstr>
      <vt:lpstr>pt_ntar_32</vt:lpstr>
      <vt:lpstr>pt_ntar_33</vt:lpstr>
      <vt:lpstr>pt_ntar_34</vt:lpstr>
      <vt:lpstr>pt_ntar_35</vt:lpstr>
      <vt:lpstr>pt_ntar_36</vt:lpstr>
      <vt:lpstr>pt_ntar_37</vt:lpstr>
      <vt:lpstr>pt_ntar_38</vt:lpstr>
      <vt:lpstr>pt_ntar_39</vt:lpstr>
      <vt:lpstr>pt_ntar_4</vt:lpstr>
      <vt:lpstr>pt_ntar_40</vt:lpstr>
      <vt:lpstr>pt_ntar_41</vt:lpstr>
      <vt:lpstr>pt_ntar_42</vt:lpstr>
      <vt:lpstr>pt_ntar_43</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2024-01-30T05:36:44Z</dcterms:modified>
</cp:coreProperties>
</file>